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s_S\Documents\"/>
    </mc:Choice>
  </mc:AlternateContent>
  <bookViews>
    <workbookView xWindow="0" yWindow="0" windowWidth="15345" windowHeight="4635" tabRatio="843"/>
  </bookViews>
  <sheets>
    <sheet name="KOPTĀME" sheetId="37" r:id="rId1"/>
    <sheet name="Kopsavilkums" sheetId="41" r:id="rId2"/>
    <sheet name="0-0" sheetId="38" r:id="rId3"/>
    <sheet name="1-1" sheetId="39" r:id="rId4"/>
    <sheet name="1-2" sheetId="57" r:id="rId5"/>
    <sheet name="1-3" sheetId="40" r:id="rId6"/>
    <sheet name="1-4" sheetId="42" r:id="rId7"/>
    <sheet name="1-5" sheetId="43" r:id="rId8"/>
    <sheet name="1-6" sheetId="45" r:id="rId9"/>
    <sheet name="1-7" sheetId="59" r:id="rId10"/>
    <sheet name="1-8" sheetId="48" r:id="rId11"/>
    <sheet name="1-9" sheetId="47" r:id="rId12"/>
    <sheet name="1-10" sheetId="46" r:id="rId13"/>
  </sheets>
  <definedNames>
    <definedName name="_xlnm._FilterDatabase" localSheetId="2" hidden="1">'0-0'!$A$13:$I$27</definedName>
    <definedName name="_xlnm._FilterDatabase" localSheetId="3" hidden="1">'1-1'!$B$1:$B$157</definedName>
    <definedName name="_xlnm._FilterDatabase" localSheetId="12" hidden="1">'1-10'!$F$59:$F$116</definedName>
    <definedName name="_xlnm._FilterDatabase" localSheetId="6" hidden="1">'1-4'!$C$1:$C$55</definedName>
    <definedName name="_xlnm.Print_Area" localSheetId="2">'0-0'!$A$1:$H$32</definedName>
    <definedName name="_xlnm.Print_Area" localSheetId="3">'1-1'!$A$1:$I$24</definedName>
    <definedName name="_xlnm.Print_Area" localSheetId="12">'1-10'!$A$1:$I$172</definedName>
    <definedName name="_xlnm.Print_Area" localSheetId="4">'1-2'!$A$1:$I$25</definedName>
    <definedName name="_xlnm.Print_Area" localSheetId="5">'1-3'!$A$1:$I$37</definedName>
    <definedName name="_xlnm.Print_Area" localSheetId="6">'1-4'!$A$1:$J$48</definedName>
    <definedName name="_xlnm.Print_Area" localSheetId="7">'1-5'!$A$1:$I$61</definedName>
    <definedName name="_xlnm.Print_Area" localSheetId="8">'1-6'!$A$1:$I$26</definedName>
    <definedName name="_xlnm.Print_Area" localSheetId="9">'1-7'!$A$1:$I$87</definedName>
    <definedName name="_xlnm.Print_Area" localSheetId="10">'1-8'!$A$1:$I$60</definedName>
    <definedName name="_xlnm.Print_Area" localSheetId="11">'1-9'!$A$1:$I$42</definedName>
    <definedName name="_xlnm.Print_Area" localSheetId="1">Kopsavilkums!$A$1:$H$30</definedName>
    <definedName name="_xlnm.Print_Area" localSheetId="0">KOPTĀME!$A$1:$C$33</definedName>
    <definedName name="_xlnm.Print_Titles" localSheetId="2">'0-0'!$13:$13</definedName>
    <definedName name="_xlnm.Print_Titles" localSheetId="3">'1-1'!$13:$13</definedName>
    <definedName name="_xlnm.Print_Titles" localSheetId="12">'1-10'!$13:$13</definedName>
    <definedName name="_xlnm.Print_Titles" localSheetId="4">'1-2'!$13:$13</definedName>
    <definedName name="_xlnm.Print_Titles" localSheetId="5">'1-3'!$13:$13</definedName>
    <definedName name="_xlnm.Print_Titles" localSheetId="6">'1-4'!$13:$13</definedName>
    <definedName name="_xlnm.Print_Titles" localSheetId="7">'1-5'!$13:$13</definedName>
    <definedName name="_xlnm.Print_Titles" localSheetId="8">'1-6'!$13:$13</definedName>
    <definedName name="_xlnm.Print_Titles" localSheetId="9">'1-7'!$13:$13</definedName>
    <definedName name="_xlnm.Print_Titles" localSheetId="10">'1-8'!$11:$11</definedName>
    <definedName name="_xlnm.Print_Titles" localSheetId="11">'1-9'!$13:$13</definedName>
  </definedNames>
  <calcPr calcId="152511"/>
</workbook>
</file>

<file path=xl/calcChain.xml><?xml version="1.0" encoding="utf-8"?>
<calcChain xmlns="http://schemas.openxmlformats.org/spreadsheetml/2006/main">
  <c r="H15" i="39" l="1"/>
  <c r="A2" i="39"/>
  <c r="G20" i="38"/>
  <c r="G21" i="38"/>
  <c r="A2" i="38"/>
  <c r="H24" i="43" l="1"/>
  <c r="H20" i="43"/>
  <c r="H21" i="43" s="1"/>
  <c r="I29" i="42" l="1"/>
  <c r="I27" i="42"/>
  <c r="I19" i="42" l="1"/>
  <c r="I23" i="42"/>
  <c r="I26" i="42" s="1"/>
  <c r="I24" i="42" l="1"/>
  <c r="I30" i="42"/>
  <c r="I25" i="42" l="1"/>
  <c r="I17" i="42" l="1"/>
  <c r="I21" i="42" s="1"/>
  <c r="H40" i="59" l="1"/>
  <c r="H33" i="59"/>
  <c r="H39" i="59" l="1"/>
  <c r="H37" i="59"/>
  <c r="H34" i="59"/>
  <c r="H42" i="48" l="1"/>
  <c r="H25" i="47"/>
  <c r="H24" i="47"/>
  <c r="H18" i="47"/>
  <c r="H20" i="47" s="1"/>
  <c r="H21" i="47" s="1"/>
  <c r="H22" i="47" s="1"/>
  <c r="H17" i="47"/>
  <c r="H16" i="47"/>
  <c r="H39" i="47"/>
  <c r="H41" i="47" s="1"/>
  <c r="H38" i="47"/>
  <c r="H37" i="47"/>
  <c r="H36" i="47"/>
  <c r="H19" i="47" l="1"/>
  <c r="H26" i="47"/>
  <c r="H27" i="47"/>
  <c r="H28" i="47"/>
  <c r="H40" i="47"/>
  <c r="H57" i="48" l="1"/>
  <c r="H58" i="48" s="1"/>
  <c r="H59" i="48" s="1"/>
  <c r="H56" i="48"/>
  <c r="H46" i="48"/>
  <c r="H51" i="48" s="1"/>
  <c r="H45" i="48"/>
  <c r="H44" i="48"/>
  <c r="H43" i="48"/>
  <c r="H39" i="48"/>
  <c r="H40" i="48" s="1"/>
  <c r="H30" i="48"/>
  <c r="H31" i="48" s="1"/>
  <c r="H28" i="48"/>
  <c r="H29" i="48" s="1"/>
  <c r="H54" i="48" l="1"/>
  <c r="H55" i="48"/>
  <c r="H50" i="48"/>
  <c r="H25" i="48" l="1"/>
  <c r="A2" i="46" l="1"/>
  <c r="A2" i="47"/>
  <c r="A2" i="48"/>
  <c r="H72" i="59"/>
  <c r="H79" i="59" s="1"/>
  <c r="H82" i="59"/>
  <c r="H84" i="59" s="1"/>
  <c r="H81" i="59" l="1"/>
  <c r="H80" i="59"/>
  <c r="H73" i="59"/>
  <c r="H74" i="59"/>
  <c r="H76" i="59"/>
  <c r="H75" i="59" s="1"/>
  <c r="H77" i="59"/>
  <c r="H83" i="59"/>
  <c r="H71" i="59" l="1"/>
  <c r="H65" i="59"/>
  <c r="H64" i="59"/>
  <c r="H69" i="59"/>
  <c r="H68" i="59"/>
  <c r="H67" i="59"/>
  <c r="H66" i="59"/>
  <c r="H61" i="59"/>
  <c r="H59" i="59"/>
  <c r="H62" i="59" s="1"/>
  <c r="H63" i="59" s="1"/>
  <c r="H57" i="59"/>
  <c r="H60" i="59" s="1"/>
  <c r="H56" i="59"/>
  <c r="H58" i="59" s="1"/>
  <c r="H46" i="59"/>
  <c r="H45" i="59"/>
  <c r="H44" i="59" s="1"/>
  <c r="H43" i="59"/>
  <c r="H48" i="59"/>
  <c r="H49" i="59" s="1"/>
  <c r="H54" i="59"/>
  <c r="H53" i="59"/>
  <c r="H52" i="59"/>
  <c r="H51" i="59"/>
  <c r="H50" i="59"/>
  <c r="H14" i="59"/>
  <c r="H24" i="59"/>
  <c r="H28" i="59" s="1"/>
  <c r="H15" i="59"/>
  <c r="H19" i="59" s="1"/>
  <c r="H17" i="59" s="1"/>
  <c r="H27" i="59" l="1"/>
  <c r="H26" i="59"/>
  <c r="H25" i="59"/>
  <c r="H16" i="59"/>
  <c r="H18" i="59"/>
  <c r="H21" i="59" s="1"/>
  <c r="H23" i="59"/>
  <c r="H47" i="59" l="1"/>
  <c r="H31" i="59"/>
  <c r="H30" i="59"/>
  <c r="H29" i="59"/>
  <c r="H41" i="59" l="1"/>
  <c r="H86" i="59"/>
  <c r="H24" i="45" l="1"/>
  <c r="H55" i="43" l="1"/>
  <c r="H52" i="43"/>
  <c r="H49" i="43" s="1"/>
  <c r="H59" i="43" s="1"/>
  <c r="H50" i="43"/>
  <c r="H39" i="43"/>
  <c r="H38" i="43"/>
  <c r="H37" i="43" l="1"/>
  <c r="H42" i="43" s="1"/>
  <c r="H40" i="43" l="1"/>
  <c r="H36" i="43"/>
  <c r="H43" i="43" s="1"/>
  <c r="H44" i="43" l="1"/>
  <c r="H45" i="43"/>
  <c r="H18" i="43"/>
  <c r="H19" i="43" s="1"/>
  <c r="H22" i="43" l="1"/>
  <c r="H23" i="43" s="1"/>
  <c r="H16" i="43"/>
  <c r="I22" i="42" l="1"/>
  <c r="I45" i="42" l="1"/>
  <c r="I47" i="42" s="1"/>
  <c r="I46" i="42"/>
  <c r="I34" i="42" l="1"/>
  <c r="I44" i="42"/>
  <c r="I43" i="42"/>
  <c r="I35" i="42" l="1"/>
  <c r="I36" i="42"/>
  <c r="I38" i="42"/>
  <c r="I37" i="42" s="1"/>
  <c r="I39" i="42"/>
  <c r="H30" i="40" l="1"/>
  <c r="H32" i="40" s="1"/>
  <c r="H29" i="40"/>
  <c r="H28" i="40"/>
  <c r="H34" i="40" l="1"/>
  <c r="H33" i="40"/>
  <c r="H31" i="40"/>
  <c r="H36" i="40" l="1"/>
  <c r="H35" i="40"/>
  <c r="H25" i="40" l="1"/>
  <c r="H26" i="40" s="1"/>
  <c r="H20" i="57" l="1"/>
  <c r="H23" i="57"/>
  <c r="H22" i="57"/>
  <c r="H21" i="57"/>
  <c r="H19" i="40"/>
  <c r="I16" i="42" l="1"/>
  <c r="H17" i="57" l="1"/>
  <c r="H18" i="57"/>
  <c r="H19" i="57"/>
  <c r="H24" i="48" l="1"/>
  <c r="H26" i="48" s="1"/>
  <c r="H21" i="48"/>
  <c r="H23" i="48" s="1"/>
  <c r="H18" i="48"/>
  <c r="H20" i="48" s="1"/>
  <c r="H27" i="48" l="1"/>
  <c r="H19" i="48"/>
  <c r="H22" i="48"/>
  <c r="H17" i="48" l="1"/>
  <c r="H47" i="43" l="1"/>
  <c r="H48" i="43" s="1"/>
  <c r="H21" i="40" l="1"/>
  <c r="H24" i="40"/>
  <c r="H15" i="48" l="1"/>
  <c r="H25" i="45" l="1"/>
  <c r="H28" i="43" l="1"/>
  <c r="H29" i="43"/>
  <c r="H30" i="43" s="1"/>
  <c r="H32" i="43" s="1"/>
  <c r="H31" i="43" l="1"/>
  <c r="H26" i="43"/>
  <c r="H25" i="43"/>
  <c r="H33" i="43"/>
  <c r="H34" i="43" s="1"/>
  <c r="H35" i="43" l="1"/>
  <c r="H20" i="40" l="1"/>
  <c r="H16" i="40"/>
  <c r="A2" i="59" l="1"/>
  <c r="A15" i="38" l="1"/>
  <c r="A16" i="38" s="1"/>
  <c r="A17" i="38" s="1"/>
  <c r="A18" i="38" s="1"/>
  <c r="A19" i="38" s="1"/>
  <c r="A21" i="38" s="1"/>
  <c r="A22" i="38" s="1"/>
  <c r="A23" i="38" s="1"/>
  <c r="A24" i="38" s="1"/>
  <c r="A25" i="38" s="1"/>
  <c r="H15" i="40"/>
  <c r="H17" i="40"/>
  <c r="H18" i="40"/>
  <c r="H23" i="40"/>
  <c r="A2" i="57"/>
  <c r="A13" i="41"/>
  <c r="A14" i="41" s="1"/>
  <c r="A15" i="41" s="1"/>
  <c r="A2" i="40"/>
  <c r="A2" i="42"/>
  <c r="A2" i="43"/>
  <c r="A2" i="45"/>
  <c r="C172" i="37"/>
  <c r="C29" i="37"/>
  <c r="D30" i="41"/>
  <c r="A16" i="41" l="1"/>
  <c r="A17" i="41" s="1"/>
  <c r="A18" i="41" l="1"/>
  <c r="A19" i="41" s="1"/>
  <c r="A20" i="41" s="1"/>
  <c r="A21" i="41" s="1"/>
  <c r="A22" i="41" s="1"/>
  <c r="J23" i="41" l="1"/>
</calcChain>
</file>

<file path=xl/sharedStrings.xml><?xml version="1.0" encoding="utf-8"?>
<sst xmlns="http://schemas.openxmlformats.org/spreadsheetml/2006/main" count="1236" uniqueCount="626">
  <si>
    <t>Kods, tāmes Nr.</t>
  </si>
  <si>
    <t>Monolītā betona aizpildījums</t>
  </si>
  <si>
    <t>Betona sūknis H&lt;24 m</t>
  </si>
  <si>
    <t>1</t>
  </si>
  <si>
    <t>2</t>
  </si>
  <si>
    <t>3</t>
  </si>
  <si>
    <t>4</t>
  </si>
  <si>
    <t>m²</t>
  </si>
  <si>
    <t>m.st.</t>
  </si>
  <si>
    <t>Mēra vienība</t>
  </si>
  <si>
    <t>Dau-dzums</t>
  </si>
  <si>
    <t>%</t>
  </si>
  <si>
    <t>Kopā</t>
  </si>
  <si>
    <t>m³</t>
  </si>
  <si>
    <t>Nr. p.k.</t>
  </si>
  <si>
    <t>Darbu un resursu nosaukums</t>
  </si>
  <si>
    <t>gab.</t>
  </si>
  <si>
    <t>kompl.</t>
  </si>
  <si>
    <t>mēn.</t>
  </si>
  <si>
    <t>c/st</t>
  </si>
  <si>
    <t>Materiālu izkraušana</t>
  </si>
  <si>
    <t>Celtņa izmantošana</t>
  </si>
  <si>
    <t>m/m</t>
  </si>
  <si>
    <t>kpl/obj</t>
  </si>
  <si>
    <t>Palīgdarbi (materiālu pārnēsāšana, materiālu sagatavošana, armatūru griešana u.c.)</t>
  </si>
  <si>
    <t>Elektroenerģija</t>
  </si>
  <si>
    <t>kg</t>
  </si>
  <si>
    <t>Tn.</t>
  </si>
  <si>
    <t>litri</t>
  </si>
  <si>
    <t>stiprinājumi</t>
  </si>
  <si>
    <t>fiksatori</t>
  </si>
  <si>
    <t>t.m.</t>
  </si>
  <si>
    <t>Palīgdarbi (materiālu pārnēsāšana, materiālu sagatavošana u.c.)</t>
  </si>
  <si>
    <t>elektrodi</t>
  </si>
  <si>
    <t>Būvgružu iekraušana, izvešana un utilizācija</t>
  </si>
  <si>
    <t>Aiļu hermetizācija ar Makrofleks sastāvu</t>
  </si>
  <si>
    <t>Makrofleks 750 ml</t>
  </si>
  <si>
    <t>Pavisam kopā</t>
  </si>
  <si>
    <t>Nr.0-0</t>
  </si>
  <si>
    <t>Nr.1-1</t>
  </si>
  <si>
    <t>Nr.1-2</t>
  </si>
  <si>
    <t>Veidņu noma 1,5 nedēļas</t>
  </si>
  <si>
    <t>I. VISPĀRCELTNIECISKIE DARBI</t>
  </si>
  <si>
    <t>Nr.1-4</t>
  </si>
  <si>
    <t>Nr.1-5</t>
  </si>
  <si>
    <t>Nr.1-6</t>
  </si>
  <si>
    <t>Nr.1-7</t>
  </si>
  <si>
    <t>Nr.1-8</t>
  </si>
  <si>
    <t>Nr.1-10</t>
  </si>
  <si>
    <t>Kopsavilkuma aprēķins par būvdarbu vai konstruktīvo elementu veidiem</t>
  </si>
  <si>
    <t>Darba veids vai konstruktīva elementa nosaukums</t>
  </si>
  <si>
    <t>Tai skaitā:</t>
  </si>
  <si>
    <t>Darbietilpība (c/h)</t>
  </si>
  <si>
    <t>Nr.p.k.</t>
  </si>
  <si>
    <t>Objekta nosaukums</t>
  </si>
  <si>
    <t/>
  </si>
  <si>
    <t>APSTIPRINU__________</t>
  </si>
  <si>
    <t xml:space="preserve">pasūtītāja paraksts un </t>
  </si>
  <si>
    <t>_____________________</t>
  </si>
  <si>
    <t>tā atšifrējums z.v.</t>
  </si>
  <si>
    <t>Z.V.</t>
  </si>
  <si>
    <t>___.gada ___.__________</t>
  </si>
  <si>
    <t>Koptāme</t>
  </si>
  <si>
    <t>PVN (21%)</t>
  </si>
  <si>
    <t>Pavisam būvniecības izmaksas</t>
  </si>
  <si>
    <t>(paraksts un tā atšifrējums)</t>
  </si>
  <si>
    <t>С Вас 50 Ls</t>
  </si>
  <si>
    <t>Būvlaukuma sagatavošanas  un uzturēšanas darbi</t>
  </si>
  <si>
    <t>Jumts</t>
  </si>
  <si>
    <t>1-1</t>
  </si>
  <si>
    <t>1-2</t>
  </si>
  <si>
    <t>2-1</t>
  </si>
  <si>
    <t>1-3</t>
  </si>
  <si>
    <t>1-4</t>
  </si>
  <si>
    <t>1-5</t>
  </si>
  <si>
    <t>2-3</t>
  </si>
  <si>
    <t>3-1</t>
  </si>
  <si>
    <t>3-2</t>
  </si>
  <si>
    <t>3-3</t>
  </si>
  <si>
    <t>Necaurspīdīgā plēve pie žoga</t>
  </si>
  <si>
    <t>Būvlaukuma žogs no inventāriem žoga posmiem 3500x1800 (h)mm - uzstādīšana, nojaukšana, nomas maksa</t>
  </si>
  <si>
    <t>Deformācijas šuvju aizpildīšana</t>
  </si>
  <si>
    <t>Betonēšanas deformācijas šuvju vadula</t>
  </si>
  <si>
    <t>3-4</t>
  </si>
  <si>
    <t>kg.</t>
  </si>
  <si>
    <t>Lokālā tāme Nr.0-0</t>
  </si>
  <si>
    <t>Lokālā tāme  Nr.1-1</t>
  </si>
  <si>
    <t>Lokālā tāme  Nr.1-2</t>
  </si>
  <si>
    <t>Lokālā tāme Nr.1-4</t>
  </si>
  <si>
    <t>Lokālā tāme Nr.1-6</t>
  </si>
  <si>
    <t>Lokālā tāme Nr.1-7</t>
  </si>
  <si>
    <t>Lokālā tāme Nr.1-8</t>
  </si>
  <si>
    <t>Lokālā tāme Nr.1-9</t>
  </si>
  <si>
    <t>Lokālā tāme Nr.1-10</t>
  </si>
  <si>
    <t>smiltis</t>
  </si>
  <si>
    <t>šķemba</t>
  </si>
  <si>
    <t>grants</t>
  </si>
  <si>
    <t>Logu bloku montāža</t>
  </si>
  <si>
    <t>Durvju bloku montāža</t>
  </si>
  <si>
    <t>MP-75 maisījums</t>
  </si>
  <si>
    <t>mais.</t>
  </si>
  <si>
    <t>skrūves</t>
  </si>
  <si>
    <t xml:space="preserve">Moduļveida sadzīves mājiņas piegāde, uzstādīšana </t>
  </si>
  <si>
    <t>Moduļveida mājiņas īre (2.44 x 6.00m h=2.5m), 1.gab.</t>
  </si>
  <si>
    <t>Ūdensapgāde</t>
  </si>
  <si>
    <t>Demontāžas darbi</t>
  </si>
  <si>
    <t>Zemes darbi</t>
  </si>
  <si>
    <t>Palīgdarbi (materiālu pārnēsāšana u.c.)</t>
  </si>
  <si>
    <t>1. Zemes darbi</t>
  </si>
  <si>
    <t>Pamatu inventārveidņu uzstādīšana un noņemšana</t>
  </si>
  <si>
    <t>1-6</t>
  </si>
  <si>
    <t>1-7</t>
  </si>
  <si>
    <t>DVP projektu izstrāde</t>
  </si>
  <si>
    <t>Pamati</t>
  </si>
  <si>
    <t>Veidņu eļļa TEXAFORM CR 3 20 L</t>
  </si>
  <si>
    <t>2-4</t>
  </si>
  <si>
    <t>2-5</t>
  </si>
  <si>
    <t>Pamatu stiegrošana</t>
  </si>
  <si>
    <t>1-8</t>
  </si>
  <si>
    <t>Grīdu hidroizolācija</t>
  </si>
  <si>
    <t>"Primer" grunts</t>
  </si>
  <si>
    <t>Ruļveida materiāla iesegums</t>
  </si>
  <si>
    <t>bal.</t>
  </si>
  <si>
    <t>Propāns/butāns 79 L</t>
  </si>
  <si>
    <t>apmetuma siets ZN</t>
  </si>
  <si>
    <t>apmetums KZ MASCHINENPUTZ</t>
  </si>
  <si>
    <t>1-9</t>
  </si>
  <si>
    <t>materiāli (€)</t>
  </si>
  <si>
    <t>darba alga (€)</t>
  </si>
  <si>
    <t>Dzeltenā tvaika izolācijas plēve 200 mikroni</t>
  </si>
  <si>
    <t>Sikaflex 11FC šuvju mastika</t>
  </si>
  <si>
    <t xml:space="preserve">Darba devēja sociālais nodoklis 23,59 % </t>
  </si>
  <si>
    <t>Tāmes izmaksas (€)</t>
  </si>
  <si>
    <t>mehānismi (€)</t>
  </si>
  <si>
    <t>Objekta izmaksas (€)</t>
  </si>
  <si>
    <t>Nr.1-3</t>
  </si>
  <si>
    <t>Lokālā tāme  Nr.1-3</t>
  </si>
  <si>
    <t>Jumta hidroizolācijas ierīkošana (2 kārtas)</t>
  </si>
  <si>
    <t>Jumta gruntēšana</t>
  </si>
  <si>
    <t>Jumta malu apdare ar skārdu</t>
  </si>
  <si>
    <t>Stiklšķiedras siets (Valmieras 1 klase) 165g</t>
  </si>
  <si>
    <t>Mūra sienu apmetums</t>
  </si>
  <si>
    <t xml:space="preserve">Uznēmējs: </t>
  </si>
  <si>
    <t>Pagaidu elektroinstālācija</t>
  </si>
  <si>
    <t>Grīdu siltumizolācija ∆=100 mm</t>
  </si>
  <si>
    <t>Eps-150 (FS25) Putuplasts 100mm</t>
  </si>
  <si>
    <t xml:space="preserve">Armešanas sietu uzstādīšana </t>
  </si>
  <si>
    <t>Lente perimetra atdalošā 12 mm biez.</t>
  </si>
  <si>
    <t>Armatūras siets 6x150x150</t>
  </si>
  <si>
    <t>Dzelzsbetona grīdu ierīkošana Δ50 mm</t>
  </si>
  <si>
    <t>betons C25/30</t>
  </si>
  <si>
    <t>PAROC ROS30 160 mm</t>
  </si>
  <si>
    <t>Šķembu sagatavošanas slānis zem grīdu Δ100 mm</t>
  </si>
  <si>
    <t>Palīgdarbi (materiālu pārnēsāšana, grunta pēcapstrāde ar rokām u.c.)</t>
  </si>
  <si>
    <t>1. Metāla karkass</t>
  </si>
  <si>
    <t>Metāla konstrukciju izgatavošana un montāža</t>
  </si>
  <si>
    <t>šķirņu velmējumi</t>
  </si>
  <si>
    <t>Logi un durvis</t>
  </si>
  <si>
    <r>
      <t xml:space="preserve">Būves nosaukums: </t>
    </r>
    <r>
      <rPr>
        <b/>
        <sz val="9"/>
        <rFont val="Arial"/>
        <family val="2"/>
        <charset val="204"/>
      </rPr>
      <t>Sporta halles vienkāršotā atjaunošana</t>
    </r>
  </si>
  <si>
    <r>
      <t xml:space="preserve">Būves adrese: </t>
    </r>
    <r>
      <rPr>
        <b/>
        <sz val="9"/>
        <rFont val="Arial"/>
        <family val="2"/>
        <charset val="204"/>
      </rPr>
      <t>Varoņu iela 35b, Valka</t>
    </r>
  </si>
  <si>
    <r>
      <t xml:space="preserve">Pasūtītājs: </t>
    </r>
    <r>
      <rPr>
        <b/>
        <sz val="9"/>
        <rFont val="Arial"/>
        <family val="2"/>
        <charset val="204"/>
      </rPr>
      <t>Valkas novada pašvaldība</t>
    </r>
  </si>
  <si>
    <t>Sporta halles vienkāršotā atjaunošana</t>
  </si>
  <si>
    <t>Pagaidu nožogojuma īre 1 mēn.</t>
  </si>
  <si>
    <t>Esošo grīdas seguma demontāža ar saglabašanai (bruģis)</t>
  </si>
  <si>
    <t>Ķieģeļu sienu demontāža (ailas paplašināšana) uz izm.</t>
  </si>
  <si>
    <t>Grunta rakšana ar roku darba spēku (tranšeja)</t>
  </si>
  <si>
    <t>Šķembu sagatavošanas slānis zem pamatu Δ150 mm</t>
  </si>
  <si>
    <t>Grunta  aizbēršana ar roku darba spēku</t>
  </si>
  <si>
    <t>Armatūra ø 8 B500B</t>
  </si>
  <si>
    <t>Betons C20/25</t>
  </si>
  <si>
    <t>"Hidrostop HL 100" maisījums</t>
  </si>
  <si>
    <t>Pamatu hidroizolācija</t>
  </si>
  <si>
    <t>"SAKRET BAK" maisījums</t>
  </si>
  <si>
    <t>"SAKRET PG" grunts</t>
  </si>
  <si>
    <t>SAKRET dekoratīvais apmetums 
2mm SBP (biezpiens)</t>
  </si>
  <si>
    <t>"SAKRET SILIKĀT " gruntskrāsa</t>
  </si>
  <si>
    <t>"SAKRET SILIKĀT " fasādes krāsa</t>
  </si>
  <si>
    <t>Pamatu apmetums pa sietu</t>
  </si>
  <si>
    <t>Pamatu gruntēšana</t>
  </si>
  <si>
    <t>Pamatu dekoratīvais apmetums</t>
  </si>
  <si>
    <t>Pamatu krāsojums</t>
  </si>
  <si>
    <t>Montāžas darbi</t>
  </si>
  <si>
    <t>Palīgmateriāli (savienotāji,blīves,celt.putas, skārda elementi)</t>
  </si>
  <si>
    <t>Pārsedzes metāla konstrukciju izgatavošana un montāža</t>
  </si>
  <si>
    <t>Elektrodi</t>
  </si>
  <si>
    <t>propāns/butāns</t>
  </si>
  <si>
    <t>skābeklis</t>
  </si>
  <si>
    <t>KMD projekts</t>
  </si>
  <si>
    <t>Metālkonstrukciju attīrīšana un gruntēšana</t>
  </si>
  <si>
    <t>attīrīšanas līdzeklis</t>
  </si>
  <si>
    <t>SigmaFast 302, Grey 40 mkm</t>
  </si>
  <si>
    <t>3. Tērauda pārsedzes</t>
  </si>
  <si>
    <t>Pārsedžu apmetums pa sieti (līdz Δ10 mm)</t>
  </si>
  <si>
    <t>Lokālā tāme Nr.1-5</t>
  </si>
  <si>
    <t>Nesošā profila pārklāšana</t>
  </si>
  <si>
    <t>Palīgmateriāli (savienotāji,blīves,celt.putas, skārda elementi, stiprinājumi un citas)</t>
  </si>
  <si>
    <t>profilētas tērauda loksnes RAN70 ∆=0,8 mm</t>
  </si>
  <si>
    <t>1.Jumta izbūve (9,9 m²)</t>
  </si>
  <si>
    <t>Jumta siltumizolācija ∆=20 mm</t>
  </si>
  <si>
    <t>PAROC ROB60 20 mm</t>
  </si>
  <si>
    <t>Jumta siltumizolācija ∆=160 mm</t>
  </si>
  <si>
    <t>Jumta siltumizolācija/slīpuma viedošana ∆=20-60 mm 2 kārt.</t>
  </si>
  <si>
    <t>PAROC ROS60 40 mm</t>
  </si>
  <si>
    <t>BIPOL EPP (apakšklājs, ~2,5mm)</t>
  </si>
  <si>
    <t>BIPOL XL EKP (virsklājs, ~4.4mm)</t>
  </si>
  <si>
    <t>1-6-1</t>
  </si>
  <si>
    <t>1-6-2</t>
  </si>
  <si>
    <t>Jumta malu apdare</t>
  </si>
  <si>
    <t>Koka karkasa izbūve</t>
  </si>
  <si>
    <t>Pergamīns P-300</t>
  </si>
  <si>
    <t>palīgmateriāli</t>
  </si>
  <si>
    <t>1-7-1</t>
  </si>
  <si>
    <t>koka bruses 50x150 antiseptizētas</t>
  </si>
  <si>
    <t>koka bruses 50x50 antiseptizētas</t>
  </si>
  <si>
    <t>100gab.</t>
  </si>
  <si>
    <t>1-7-2</t>
  </si>
  <si>
    <t>OSB plātņu montāža</t>
  </si>
  <si>
    <t>OSB-3 plātnes 15 mm</t>
  </si>
  <si>
    <t>Skrūves</t>
  </si>
  <si>
    <t>1-7-3</t>
  </si>
  <si>
    <t>skārda profils PE</t>
  </si>
  <si>
    <t>Notekūdeņu sistēmu ierīkošana PE</t>
  </si>
  <si>
    <t>tekņu ākis</t>
  </si>
  <si>
    <t>uztvērējtekne 150 mm</t>
  </si>
  <si>
    <t>Lāsenis</t>
  </si>
  <si>
    <t>Teknes gals</t>
  </si>
  <si>
    <t>Piltuve 150/120</t>
  </si>
  <si>
    <t>cauruļu stiprinājumi</t>
  </si>
  <si>
    <t>lejas gals</t>
  </si>
  <si>
    <t>līkumi</t>
  </si>
  <si>
    <t>notekcaurules</t>
  </si>
  <si>
    <t>kniedes</t>
  </si>
  <si>
    <t>silikons</t>
  </si>
  <si>
    <t>iep.</t>
  </si>
  <si>
    <t>L-1; 2400x1200 PVC</t>
  </si>
  <si>
    <t>Vitrīnas STV-1 ar durvju montāža</t>
  </si>
  <si>
    <t xml:space="preserve"> STV-1; 5820x3000</t>
  </si>
  <si>
    <t>UD-1; 2100x900 metāla durvis EI30</t>
  </si>
  <si>
    <t>D-2; 1000x2200 laminētas durvis</t>
  </si>
  <si>
    <t>D-3; 800x2200 laminētas durvis</t>
  </si>
  <si>
    <t>D-4; 1100x2200 laminētas durvis</t>
  </si>
  <si>
    <t>D-5; 1050x2100 PVC iekšdurvis</t>
  </si>
  <si>
    <t>Knauf skrūves LN 9mm</t>
  </si>
  <si>
    <t>1000 gab.</t>
  </si>
  <si>
    <t>Dībelis ar skrūvi 6X35</t>
  </si>
  <si>
    <t>200 gab.</t>
  </si>
  <si>
    <t>Amortizācijas lente 95 мм</t>
  </si>
  <si>
    <t>reģipsis GKB</t>
  </si>
  <si>
    <t>reģipsis GKBi</t>
  </si>
  <si>
    <t>Skrūves, smalka vītne TN 3,5 x 35</t>
  </si>
  <si>
    <t>Skrūves, smalka vītne TN 3,5 x 25 mm</t>
  </si>
  <si>
    <t>Knauf Tiefengrund grunts  (0,15l= 1m²)</t>
  </si>
  <si>
    <t>šuvju sietlenta 48mmx90m</t>
  </si>
  <si>
    <t>Uniflott 25 kg-maiss</t>
  </si>
  <si>
    <t>Metālkarkasa ierīkošana Δ100 mm</t>
  </si>
  <si>
    <t>CW-profils</t>
  </si>
  <si>
    <t>UW-profils</t>
  </si>
  <si>
    <t>UA-profils</t>
  </si>
  <si>
    <t>Skāņu izolāciju montāža</t>
  </si>
  <si>
    <t>Starpsienu apšūšana ar riģipsi 2 kārt.</t>
  </si>
  <si>
    <t>GKB riģipsi</t>
  </si>
  <si>
    <t>Ģipškartona apšuvuma sadurvietu špaktelēšana</t>
  </si>
  <si>
    <t>Knauf Tiefengrund grunts  (0,25l= 1m²)</t>
  </si>
  <si>
    <t>špaktele "Uniflot"  (0,77kg = 1m²)</t>
  </si>
  <si>
    <t>Reģipša starpsienu montāža b=150 mm ar akmensvates b=100mm pildījumu un ģipškartona apšuvumu no abām pusēm 2 kartas (Tips S-1)</t>
  </si>
  <si>
    <t>2-2</t>
  </si>
  <si>
    <t xml:space="preserve"> UD profils</t>
  </si>
  <si>
    <t xml:space="preserve"> CD profils</t>
  </si>
  <si>
    <t>Amortizācijas lente 30 мм</t>
  </si>
  <si>
    <t>Sienu apšūšana ar reģipsi 2.kārtas (kārbu ierīkošana)</t>
  </si>
  <si>
    <t>Griestu apšūšana ar riģipsi</t>
  </si>
  <si>
    <t>CD-profils</t>
  </si>
  <si>
    <t>UD-profils</t>
  </si>
  <si>
    <t>CD profilu savienotājs</t>
  </si>
  <si>
    <t>Dībelis-nagla Knauf 6/35мм</t>
  </si>
  <si>
    <t>100 gab.</t>
  </si>
  <si>
    <t>CD profilu ātrā enkuriekare</t>
  </si>
  <si>
    <t>iekares stieple ar cilpu</t>
  </si>
  <si>
    <t>Knauf Tiefengrund grunts (0,15L/1m²)</t>
  </si>
  <si>
    <t>špaktele "Uniflot"  (0,77kg/1m²)</t>
  </si>
  <si>
    <t>Starpsienas un griesti</t>
  </si>
  <si>
    <t>Jaunas ARMSTRONG tipa piekārtie griesti (MODUĻU MINERĀLIE 600x600 mm OWAcoustic COSMOS)</t>
  </si>
  <si>
    <t>Jaunas ARMSTRONG tipa piekārtie griesti (MODUĻU MINERĀLIE 600x600 mm mītrumizturīgs)</t>
  </si>
  <si>
    <t>Grīdas</t>
  </si>
  <si>
    <t>Nr.1-9</t>
  </si>
  <si>
    <t>Apdares darbi</t>
  </si>
  <si>
    <t>Speciālas darbi</t>
  </si>
  <si>
    <t>betona bruģis. h=6cm</t>
  </si>
  <si>
    <t>dolomīta šķembu izsiju izl. kārta, h=5 cm</t>
  </si>
  <si>
    <t>šķembu izsijas</t>
  </si>
  <si>
    <t>Betona bruģa ietves izbūve</t>
  </si>
  <si>
    <t>1-10</t>
  </si>
  <si>
    <t>1-11</t>
  </si>
  <si>
    <t>stiprinājumi un montāžas materiāli</t>
  </si>
  <si>
    <t>Linolejs Forbo Eternal Weave tonis - 13622 - Graphite tonis precizējams autoruzraudzības kartība</t>
  </si>
  <si>
    <t>PVC grīdlīstu montāža</t>
  </si>
  <si>
    <t>PVC grīdlīstes ar kabeļkanālu un gumijotām malām komplektiem, ar k=1,1</t>
  </si>
  <si>
    <t>2. Trenera telpa</t>
  </si>
  <si>
    <t>Grunts Mira 4180 primer</t>
  </si>
  <si>
    <t>Mira 4400 multicoat</t>
  </si>
  <si>
    <t>Stikla šķiedras audums Mira</t>
  </si>
  <si>
    <t>Stūra lenta</t>
  </si>
  <si>
    <t xml:space="preserve">Grīdu segums no akmeņu flīzēm </t>
  </si>
  <si>
    <t>Flīžu līme "3000 Standartfix"</t>
  </si>
  <si>
    <t>Kg.</t>
  </si>
  <si>
    <t>Krustiņi 3 mm</t>
  </si>
  <si>
    <t>200 gаb.</t>
  </si>
  <si>
    <t>Šuvju aizdare "MIRA Multipox 3650"</t>
  </si>
  <si>
    <t>7-2-3</t>
  </si>
  <si>
    <t>Flīžu grīdlistes montāža H=150 mm</t>
  </si>
  <si>
    <t>Šuvju aizdare "MIRA Supercolour"</t>
  </si>
  <si>
    <t>3-5</t>
  </si>
  <si>
    <t>3-6</t>
  </si>
  <si>
    <t>Griestu špaktelēšana, slīpēšana, gruntēšana</t>
  </si>
  <si>
    <t xml:space="preserve">  grunts</t>
  </si>
  <si>
    <t>špaktele</t>
  </si>
  <si>
    <t>smilšpapīrs</t>
  </si>
  <si>
    <t>Griestu krāsošana</t>
  </si>
  <si>
    <t>krāsa</t>
  </si>
  <si>
    <t>2. Griesti</t>
  </si>
  <si>
    <t>Sienu špaktelēšana un slīpēšana</t>
  </si>
  <si>
    <t>"SHEETROCK" špaktele</t>
  </si>
  <si>
    <t>28 kg.</t>
  </si>
  <si>
    <t>Smilšpapīrs uz audekla pamatnes 100-150</t>
  </si>
  <si>
    <t>Sienu gruntēšana</t>
  </si>
  <si>
    <t>"Caparol EXL SAMTGRUND B1 XRPU" grunts</t>
  </si>
  <si>
    <t>Sienu krāsošana 2 kārt.</t>
  </si>
  <si>
    <t>krāsa Caparol EXL Samtex 7</t>
  </si>
  <si>
    <t>krāsu tonēšana</t>
  </si>
  <si>
    <t>grunts "LATEXGRUNT"</t>
  </si>
  <si>
    <t>Sienu flīžešana</t>
  </si>
  <si>
    <t>flīžu līme Mira 3110 unifix</t>
  </si>
  <si>
    <t>Šuvju masa MIRA Mastic</t>
  </si>
  <si>
    <t>Krustiņi 3 mm (100 gab.)</t>
  </si>
  <si>
    <t>1. Sienas</t>
  </si>
  <si>
    <t>Linolejs Forbo Eternal Weave tonis - 13622 - Graphite tonis precizējams autoruzraudzības kartība (telpas 8, 12)</t>
  </si>
  <si>
    <t xml:space="preserve">Gaisa vadi Ø100 no cinkotā skārda 0.5mm biezums (Bic)                                                                                                             </t>
  </si>
  <si>
    <t xml:space="preserve">Gaisa vadi Ø125 no cinkotā skārda 0.5mm biezums (Bic)                                                                                                         </t>
  </si>
  <si>
    <t xml:space="preserve">Gaisa vadi Ø160 no cinkotā skārda 0.5mm biezums (Bic)                                                                                                       </t>
  </si>
  <si>
    <t xml:space="preserve">Gaisa vadi Ø200 no cinkotā skārda 0.5mm biezums (Bic)                                                                                             </t>
  </si>
  <si>
    <t>Gaisa sadalītājs ULA-100 Halton</t>
  </si>
  <si>
    <t>Plūsmas regulējošais vārsts SK-100 Vtprincips</t>
  </si>
  <si>
    <t>Plūsmas regulējošais vārsts SK-160 Vtprincips</t>
  </si>
  <si>
    <t>Plūsmas regulējošais vārsts SK-200 Vtprincips</t>
  </si>
  <si>
    <t>Pretvārsts SK-200 Vtprincips</t>
  </si>
  <si>
    <t>Ugunsdroša vārsts UVA60-160 Amalva</t>
  </si>
  <si>
    <t>Ugunsdroša vārsts UVA60-200 Amalva</t>
  </si>
  <si>
    <t>1. Ventilācija</t>
  </si>
  <si>
    <t>t.m</t>
  </si>
  <si>
    <t>Cauruļvadu stiprinājumi un balsti</t>
  </si>
  <si>
    <t>Ugunsdrošas manžetes caurulem</t>
  </si>
  <si>
    <t>Aizsargčaulas caurulem</t>
  </si>
  <si>
    <t>Montāžas komplekts</t>
  </si>
  <si>
    <t>Cauruļvadu fasondaļu komplekts</t>
  </si>
  <si>
    <t>Automatiskais atgaisotājs TACO</t>
  </si>
  <si>
    <t>3-7</t>
  </si>
  <si>
    <t>3-8</t>
  </si>
  <si>
    <t>Tērauda cauruļvadi DN65</t>
  </si>
  <si>
    <t xml:space="preserve">“Paroc”siltumizolācijas čaulas ar alumīnija follijas pārklājumu, DN65 biez.30 mm, I=1,2 m </t>
  </si>
  <si>
    <t>4-1</t>
  </si>
  <si>
    <t>4-2</t>
  </si>
  <si>
    <t>4-3</t>
  </si>
  <si>
    <t>4-4</t>
  </si>
  <si>
    <t>4-5</t>
  </si>
  <si>
    <t>4-6</t>
  </si>
  <si>
    <t>4-7</t>
  </si>
  <si>
    <t>4-8</t>
  </si>
  <si>
    <t>Lodveida ventilis, DN15</t>
  </si>
  <si>
    <t>Leņķventīlis, DN15</t>
  </si>
  <si>
    <t>Roku mazgātnes jaucējkrāns</t>
  </si>
  <si>
    <t>Daudzslāņu cauruļu veidgabali</t>
  </si>
  <si>
    <t>Cauruļu stiprinājumi</t>
  </si>
  <si>
    <t>Marķēšanas materiāli</t>
  </si>
  <si>
    <t>WC pievienojums</t>
  </si>
  <si>
    <t>Klozetpods ar iebūvējamo skalojamo kasti</t>
  </si>
  <si>
    <t>Roku mazgātne ar sifonu</t>
  </si>
  <si>
    <t>Polipropilēna cauruļu veidgabali</t>
  </si>
  <si>
    <t>Cauruļu stiprinājumi, smēres, palīgmateriāli</t>
  </si>
  <si>
    <t>Plastmasas traps ar sifonu un nerūsošā tērauda resti, DN100</t>
  </si>
  <si>
    <t>Ūdensvada plastmasas daudzslāņu caurules, Ø20x2.0 Uponor</t>
  </si>
  <si>
    <t>PEX pretkondensācijas izolācija Δ=13mm. Ø20 Armaflex</t>
  </si>
  <si>
    <t>PEX siltumizolācija Δ=20mm, Ø20 Armaflex</t>
  </si>
  <si>
    <t>Polipropilēna kanalizācijas caurules, Ø110 Uponor</t>
  </si>
  <si>
    <t>Tas pats, Ø50 Uponor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</si>
  <si>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</si>
  <si>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</si>
  <si>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</si>
  <si>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</si>
  <si>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</si>
  <si>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</si>
  <si>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</si>
  <si>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</si>
  <si>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</si>
  <si>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Slodzes slēdzis 3P, 400V, 80A ar montāžu</t>
  </si>
  <si>
    <t>Kombinētā pārsprieguma aizsardzība 4P B+C ar montāžu</t>
  </si>
  <si>
    <t>Mazgabarīta aut. slēdzis ~3, 25A,''C'',6kA ar montāžu</t>
  </si>
  <si>
    <t>Mazgabarīta aut. slēdzis ~3, 10A,''C'',6kA ar montāžu</t>
  </si>
  <si>
    <t>Mazgabarīta aut. slēdzis ~1, 16A,''C'',6kA ar montāžu</t>
  </si>
  <si>
    <t>Mazgabarīta aut. slēdzis ~1, 10A,''C'',6kA ar montāžu</t>
  </si>
  <si>
    <t>Mazgabarīta aut. slēdzis ~1, 4A,''C'',6kA ar montāžu</t>
  </si>
  <si>
    <t>3-polu fāzu kopne 16mm²   (12 mod.) ar montāžu</t>
  </si>
  <si>
    <t>Tranzītspaile 1x50mm2 ar montāžu</t>
  </si>
  <si>
    <t>Hermētisks gaismeklis 2x36W G13 T8 IP66 IK08 pelēks ACQUA E-BASIC PC ar 18W LED spuldzēm vai analogs ar montāžu</t>
  </si>
  <si>
    <t>Gaismeklis downlight 1x60W E27 DL-R 63 balts ar 15W LED spuldzi vai analogs ar montāžu</t>
  </si>
  <si>
    <t>Plafons v/a balts 1x75W E27 IP44 CAMEA ar 15 LED spuldzi vai analogs ar montāžu</t>
  </si>
  <si>
    <t>Gaismeklis v/a 4x18W G13 T8 balts CLASSIC NC LA polished ar 10W LED spuldzēm vai analogs ar montāžu</t>
  </si>
  <si>
    <t>LED prožektors 10W 6500K 750lm melns IP65 S105 vai analogs ar montāžu</t>
  </si>
  <si>
    <t>LED gaismeklis 200W/840 20500lm IP65 Philips CoreLine Highbay BY121P G2 vai analogs ar montāžu</t>
  </si>
  <si>
    <t>LED spuldze 13.5W 2700K E27 1055lm Parathom vai analogs ar montāžu (ievietot esošajās plafonlampās)</t>
  </si>
  <si>
    <t>Gaismas slēdzis, dubultais, 230V, z/a, Sedna Pro vai analogs ar montāžu</t>
  </si>
  <si>
    <t>Gaismas slēdzis, pārslēdzis, 230V, z/a, Sedna Pro vai analogs ar montāžu</t>
  </si>
  <si>
    <t>Gaismas slēdzis, vienpola, 230V, z/a, Sedna Pro vai analogs ar montāžu</t>
  </si>
  <si>
    <t>Gaismas slēdzis, dubultais pārslēdzis, 230V, z/a, Sedna Pro vai analogs ar montāžu</t>
  </si>
  <si>
    <t>Rozete (L+N+PE), 16A, 230V, z/a, ar bērnu aizsardzību, Sedna Pro vai analogs ar montāžu</t>
  </si>
  <si>
    <t>Kontaktligzda 2-v v/a ar zem. bērnu aiz. balta IP20 Sedna Pro vai analogs ar montāžu</t>
  </si>
  <si>
    <t>Rāmītis 1-vietīgs Sedna Pro (krāsu precizēt pie izbūves) ar montāžu</t>
  </si>
  <si>
    <t>Rāmītis 2-vietīgs Sedna Pro (krāsu precizēt pie izbūves) ar montāžu</t>
  </si>
  <si>
    <t>Rāmītis 5-vietīgs Sedna Pro (krāsu precizēt pie izbūves) ar montāžu</t>
  </si>
  <si>
    <t>Z/a montāžas kārba ar montāžu</t>
  </si>
  <si>
    <t>Kārba z/a ierīcēm 1-v balta SEDNA PRO vai analogs ar montāžu</t>
  </si>
  <si>
    <t>V/a montāžas kārba ar vāku ar montāžu</t>
  </si>
  <si>
    <t>Avārijas LED gaismeklis 1.2W 1h (deg avārijas laikā) IP22 TIGER ar piktogrammu vai analogs ar montāžu</t>
  </si>
  <si>
    <t>Invalīda toletes trauksmes poga ar paraujamu striķi un v/a skaņas signāls ar strobu ar montāžu (montēt invalīdu toletē)</t>
  </si>
  <si>
    <t>PVC gofrēta caurule d=32mm ar montāžu</t>
  </si>
  <si>
    <t>PVC gofrēta caurule d=25mm ar montāžu</t>
  </si>
  <si>
    <t>PVC gofrēta caurule d=16mm ar montāžu</t>
  </si>
  <si>
    <t>Kabeļu kanāls 40x40 balts ar montāžu</t>
  </si>
  <si>
    <t>Savienojumi, stiprinājumi utt. ar montāžu</t>
  </si>
  <si>
    <t>Kabelis NYM-J 4x16 mm² ar montāžu</t>
  </si>
  <si>
    <t>Kabelis NYM-J 5x4 mm² ar montāžu</t>
  </si>
  <si>
    <t>Kabelis NYM-J 3x2.5 mm² ar montāžu</t>
  </si>
  <si>
    <t>Kabelis NYM-J 3x1.5mm² ar montāžu</t>
  </si>
  <si>
    <t>Kabelis NYM-J 4x1.5mm² ar montāžu</t>
  </si>
  <si>
    <t>Kabelis NYM-J 5x1.5mm² ar montāžu</t>
  </si>
  <si>
    <t>Kabelis NHXH-J E30 3x1.5mm² ar montāžu</t>
  </si>
  <si>
    <t>Vads Cu 1x16.0mm² dzeltenzaļš ar montāžu</t>
  </si>
  <si>
    <t>Savienojuma uzmava 4x35/35 ar montāžu</t>
  </si>
  <si>
    <t>Esošās elektroinstalācijas demontāža, pārslēgšana uz jauno sadalni</t>
  </si>
  <si>
    <t>Kabeļu stiprinājumi, savilces utt. ar montāžu</t>
  </si>
  <si>
    <t>Dībeļi, skrūves, stiprinājumi utt. ar montāžu</t>
  </si>
  <si>
    <t>Kabeļu gala apdares, kurpes, uzgaļi, starpspailes utt. ar montāžu</t>
  </si>
  <si>
    <t>Shēmas sadalnēs, sadaļņu marķēšana</t>
  </si>
  <si>
    <t>sadalne</t>
  </si>
  <si>
    <t>Izpilddokumentācijas sagatavošana (mērījumu protokoli, shēmas, izpildzīmējumi, segto darbu akti, zemējuma pase, deklarācijas utt.) un iesniegšana pasūtītājam</t>
  </si>
  <si>
    <t>Ugunsdroša manžete. Ø110</t>
  </si>
  <si>
    <t>Sadalne v/a 48mod (4x12mod) pelēka ar c/d IP41 IK08 Mistral41 650 vai analogs ar montāžu kopa ar:</t>
  </si>
  <si>
    <t>7-1-1</t>
  </si>
  <si>
    <t>7-2-1</t>
  </si>
  <si>
    <t>7-2-2</t>
  </si>
  <si>
    <t>7-2-4</t>
  </si>
  <si>
    <t>7-2-5</t>
  </si>
  <si>
    <t>7-2-6</t>
  </si>
  <si>
    <t>7-2-7</t>
  </si>
  <si>
    <t>7-2-8</t>
  </si>
  <si>
    <t>7-2-9</t>
  </si>
  <si>
    <t>7-2-10</t>
  </si>
  <si>
    <t>7-2-11</t>
  </si>
  <si>
    <t>7-2-12</t>
  </si>
  <si>
    <t>7-2-13</t>
  </si>
  <si>
    <t>7-2-14</t>
  </si>
  <si>
    <t>7-2-15</t>
  </si>
  <si>
    <t>7-2-16</t>
  </si>
  <si>
    <t>7-2-17</t>
  </si>
  <si>
    <t>7-2-18</t>
  </si>
  <si>
    <t>7-3-1</t>
  </si>
  <si>
    <t>7-3-2</t>
  </si>
  <si>
    <t>7-3-3</t>
  </si>
  <si>
    <t>7-3-4</t>
  </si>
  <si>
    <t>7-3-5</t>
  </si>
  <si>
    <t>7-4-1</t>
  </si>
  <si>
    <t>7-4-2</t>
  </si>
  <si>
    <t>7-4-3</t>
  </si>
  <si>
    <t>7-4-4</t>
  </si>
  <si>
    <t>7-4-5</t>
  </si>
  <si>
    <t>7-4-6</t>
  </si>
  <si>
    <t>7-4-7</t>
  </si>
  <si>
    <t>7-4-8</t>
  </si>
  <si>
    <t>7-4-10</t>
  </si>
  <si>
    <t>7-4-11</t>
  </si>
  <si>
    <t>7-5-1</t>
  </si>
  <si>
    <t>7-5-2</t>
  </si>
  <si>
    <t>7-5-3</t>
  </si>
  <si>
    <t>7-6-1</t>
  </si>
  <si>
    <t>7-6-2</t>
  </si>
  <si>
    <t>obj.</t>
  </si>
  <si>
    <t>"Aeroc" bloku līme  25 kg</t>
  </si>
  <si>
    <t>Gāzbetona pārsedžu montāža</t>
  </si>
  <si>
    <t>Starpsienu izbūve Tips S-2</t>
  </si>
  <si>
    <t>Sienu mūrēšana no "Aeroc" blokiem 100 mm biezumā</t>
  </si>
  <si>
    <t>armatūra "Aeroc Murfor 40"</t>
  </si>
  <si>
    <t>Jauno sienu apmetums</t>
  </si>
  <si>
    <t>"AEROC" pārsedze 3000x150x400</t>
  </si>
  <si>
    <t>"AEROC Element 100" bloki Δ100 mm</t>
  </si>
  <si>
    <t>"Aeroc" plātņu līme 25 kg</t>
  </si>
  <si>
    <t>SONNIGER GUARD 150E montāža un regulēšana</t>
  </si>
  <si>
    <t>2. Tambura sienu izbūve</t>
  </si>
  <si>
    <t>Stiprinājumi</t>
  </si>
  <si>
    <t>HAT-profils 20 Cinkots 1,0mm</t>
  </si>
  <si>
    <t>Nesošā profila montāža</t>
  </si>
  <si>
    <t>Z-profils 120 Cinkots 1,0mm</t>
  </si>
  <si>
    <t>Sienas tvaika izolācija</t>
  </si>
  <si>
    <t>"PAROC WAS 35t" akmens vate Δ30 mm</t>
  </si>
  <si>
    <t>"ROCKWOOL Superrock" akmens vate Δ120 mm</t>
  </si>
  <si>
    <t>Sienu siltumizolācija ∆150 mm 2 kārt.</t>
  </si>
  <si>
    <t>Sienu apšūšana ar profilēta loksnēm</t>
  </si>
  <si>
    <t>sienu profils PE</t>
  </si>
  <si>
    <t>Nozarkārba v/a 84x84x50mm pelēka ar vāku IP54 un montāžu</t>
  </si>
  <si>
    <t>PVC gofrēta caurule d=20mm ar montāžu</t>
  </si>
  <si>
    <t>Audio kabelis YFAZ 2x1.5mm² caurspīdīgs ar sarkanu strīpu ar montāžu</t>
  </si>
  <si>
    <t>Kontrolkabelis LiYCY 3x0.14mm² lokans ar ekrānu, pelēks 250/250V saiva ar montāžu (tablo vadībai)</t>
  </si>
  <si>
    <t>Kontrolkabelis LiYCY 4x0.14mm² lokans ar ekrānu, pelēks 250/250V saiva ar montāžu (tablo vadībai)</t>
  </si>
  <si>
    <t>Kontrolkabelis LiYCY 6x0.14mm² lokans ar ekrānu, pelēks 250/250V saiva ar montāžu (tablo vadībai)</t>
  </si>
  <si>
    <t>Kontaktspraudnis DB9 male ar montāžu (tablo vadībai)</t>
  </si>
  <si>
    <t>Kontaktligzda DB9 female ar montāžu (tablo vadībai)</t>
  </si>
  <si>
    <t>Tablo pārcelšana (pēc pasūtītāja norādēm)</t>
  </si>
  <si>
    <t>Izpilddokumentācijas sagatavošana (mērījumu protokoli, shēmas, izpildzīmējumi, segto darbu akti, deklarācijas utt.) un iesniegšana pasūtītājam</t>
  </si>
  <si>
    <t>Ugunsdzēsības signalizācijas panelis 20 zonām INIM SMARTLINE 020-4 vai analogs ar montāžu</t>
  </si>
  <si>
    <t>akumulators 12V 7Ah ar montāžu</t>
  </si>
  <si>
    <t>Dūmu detektors ar mont. bāzi 24V NB338-2 vai analogs ar montāžu</t>
  </si>
  <si>
    <t>Rokas darbības detektors ar kārbu MCP1A vai analogs ar montāžu</t>
  </si>
  <si>
    <t>2-vadu sirēna ar strobu iekštelpām 24V 100db</t>
  </si>
  <si>
    <t>2-vadu sirēna ar strobu āram 102db AH-03127-BS vai analogs ar montāžu</t>
  </si>
  <si>
    <t>Kabeļu kanāls 25x15mm balts LHD HD vai analogs ar montāžu</t>
  </si>
  <si>
    <t>Kabeļu kanāls 15x12mm balts LZ HD vai analogs ar montāžu</t>
  </si>
  <si>
    <t>Signalizācijas kabelis 2x0.8+0.8mm² ekranēts sarkans J-Y(ST)Y vai analogs ar montāžu</t>
  </si>
  <si>
    <t>Ugunsdrošs sign. kabelis 2x8/10 FE180/E30 ekranēts sarkans vai analogs ar montāžu</t>
  </si>
  <si>
    <t>Esošās ugunsdrošības sistēmas demontāža</t>
  </si>
  <si>
    <t>Apsardzes signalizācijas panelis NX-8 vai analogs ar montāžu</t>
  </si>
  <si>
    <t>Paneļa korpuss NX-003 vai analogs ar montāžu</t>
  </si>
  <si>
    <t>Akumulators 12V 7Ah ar montāžu</t>
  </si>
  <si>
    <t>Tampera slēdzis NX-005 vai analogs ar montāžu</t>
  </si>
  <si>
    <t>Kontaktu kontroles GSM-raidītājs ar montāžu</t>
  </si>
  <si>
    <t>LED-tastatūra NX-116 vai analogs ar montāžu</t>
  </si>
  <si>
    <t>16-zonu paplašināšanas modulis NX-216 vai analogs ar montāžu</t>
  </si>
  <si>
    <t>2-vadu sirēna ar strobu 12V iekštelpām 100db SEM923-BL vai analogs ar montāžu</t>
  </si>
  <si>
    <t>Barošanas bloks ar montāžu</t>
  </si>
  <si>
    <t>Kombinētais kustības &amp; stikla plīšanas detektors JS-25 Combo vai analogs ar montāžu</t>
  </si>
  <si>
    <t>Slēdzis ar atslēgām NX-600CL vai analogs ar montāžu</t>
  </si>
  <si>
    <t>Apsardzes kabelis 4x0.22, mīkstais ar montāžu</t>
  </si>
  <si>
    <t>Apsardzes kabelis 8x0.22, mīkstais ar montāžu</t>
  </si>
  <si>
    <t>Jumta tvaika izolācija</t>
  </si>
  <si>
    <t>Akmens vate PAROC eXtra 100 mm</t>
  </si>
  <si>
    <t>Esoša seguma nojaukšana (bruģis)</t>
  </si>
  <si>
    <t>3. Siltumtrase</t>
  </si>
  <si>
    <t>4. Ūdensvads Ū1, T3</t>
  </si>
  <si>
    <t>4-9</t>
  </si>
  <si>
    <t>5. Kanalizācija K1</t>
  </si>
  <si>
    <t>5-10</t>
  </si>
  <si>
    <t>6. Apgaismojums un spēka tīkli</t>
  </si>
  <si>
    <t>6-1. Sadalne</t>
  </si>
  <si>
    <t>6-1-1</t>
  </si>
  <si>
    <t>6-2-1</t>
  </si>
  <si>
    <t>6-2-2</t>
  </si>
  <si>
    <t>6-2-3</t>
  </si>
  <si>
    <t>6-2-4</t>
  </si>
  <si>
    <t>6-2-5</t>
  </si>
  <si>
    <t>6-2-6</t>
  </si>
  <si>
    <t>6-2-7</t>
  </si>
  <si>
    <t>6-2-8</t>
  </si>
  <si>
    <t>6-2-9</t>
  </si>
  <si>
    <t>6-2-10</t>
  </si>
  <si>
    <t>6-2-11</t>
  </si>
  <si>
    <t>6-2-12</t>
  </si>
  <si>
    <t>6-2. Instalācijas materiāli</t>
  </si>
  <si>
    <t>6-2-13</t>
  </si>
  <si>
    <t>6-2-14</t>
  </si>
  <si>
    <t>6-2-15</t>
  </si>
  <si>
    <t>6-2-16</t>
  </si>
  <si>
    <t>6-2-17</t>
  </si>
  <si>
    <t>6-2-18</t>
  </si>
  <si>
    <t>6-2-19</t>
  </si>
  <si>
    <t>6-2-20</t>
  </si>
  <si>
    <t>6-2-21</t>
  </si>
  <si>
    <t>6-3.Kabeļkanāli un caurules</t>
  </si>
  <si>
    <t>6-4. Kabeļi un vadi</t>
  </si>
  <si>
    <t>6-5. Palīgmaterāli</t>
  </si>
  <si>
    <t>6-6. Izpilddokumentācija</t>
  </si>
  <si>
    <t>7. VST</t>
  </si>
  <si>
    <t>7-1. Audio un tablo vadības tīkli</t>
  </si>
  <si>
    <t>7-2. Automātiskās ugunsdrošības sistēma</t>
  </si>
  <si>
    <t>7-3. Apsardzes sistēma</t>
  </si>
  <si>
    <t>7-1-2</t>
  </si>
  <si>
    <t>7-1-3</t>
  </si>
  <si>
    <t>7-1-4</t>
  </si>
  <si>
    <t>7-1-5</t>
  </si>
  <si>
    <t>7-1-6</t>
  </si>
  <si>
    <t>7-1-7</t>
  </si>
  <si>
    <t>7-1-8</t>
  </si>
  <si>
    <t>7-1-9</t>
  </si>
  <si>
    <t>7-1-10</t>
  </si>
  <si>
    <t>7-1-11</t>
  </si>
  <si>
    <t>7-1-12</t>
  </si>
  <si>
    <t>7-1-13</t>
  </si>
  <si>
    <t>7-3-6</t>
  </si>
  <si>
    <t>7-3-7</t>
  </si>
  <si>
    <t>7-3-8</t>
  </si>
  <si>
    <t>7-3-9</t>
  </si>
  <si>
    <t>7-3-10</t>
  </si>
  <si>
    <t>7-3-11</t>
  </si>
  <si>
    <t>7-3-12</t>
  </si>
  <si>
    <t>7-3-13</t>
  </si>
  <si>
    <t>7-3-14</t>
  </si>
  <si>
    <t>7-3-15</t>
  </si>
  <si>
    <t>7-3-16</t>
  </si>
  <si>
    <t>7-3-17</t>
  </si>
  <si>
    <t>7-3-18</t>
  </si>
  <si>
    <t>7-3-19</t>
  </si>
  <si>
    <t>7-3-20</t>
  </si>
  <si>
    <t>3. Telpas I. Stāvā</t>
  </si>
  <si>
    <t>2. Gaisa aizkari</t>
  </si>
  <si>
    <t>Slodzes izturīgs kājslauķis KS-1, cinkota metāla reste metālā vannā 1000x1000x25mm</t>
  </si>
  <si>
    <t>Kājslauķu KS-3 un KS-5 uzklāšana</t>
  </si>
  <si>
    <t>EMCO Maximus (Burgundy single)</t>
  </si>
  <si>
    <t>Sienas Leonardo - Color lce 10*10 flizes</t>
  </si>
  <si>
    <t>Sienas Leonardo - Color Navy 10*10 flizes</t>
  </si>
  <si>
    <t>Sienas Leonardo - Color Turquise 10*10 flizes</t>
  </si>
  <si>
    <t>Sienas Leonardo - Color Blue 10*10 flizes</t>
  </si>
  <si>
    <t>Sienas Leonardo - Color Platinum 10*10 flizes</t>
  </si>
  <si>
    <t xml:space="preserve"> neslīdošas,  grīdas flīzes Leonardo - Color Grey 20x20 KOR</t>
  </si>
  <si>
    <t xml:space="preserve"> neslīdošas, Leonardo - Color Grey 20x20 grīdas flīzes</t>
  </si>
  <si>
    <t>Kājslauķis KS-2, piem. Jaguar (g. pelēks) h=20mm ar stiprinājumiem</t>
  </si>
  <si>
    <t>Mazgabarīta aut. slēdzis ~3, 20A,''C'',6kA ar montāžu</t>
  </si>
  <si>
    <t>Daudzums</t>
  </si>
  <si>
    <t>1. Lievenis</t>
  </si>
  <si>
    <t>Virsuzdevumi, t.sk.darba aizsardzība __%</t>
  </si>
  <si>
    <t>Plānotā peļņā __%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</si>
</sst>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_р_._-;\-* #,##0.00_р_._-;_-* &quot;-&quot;??_р_._-;_-@_-"/>
    <numFmt numFmtId="165" formatCode="0.0"/>
    <numFmt numFmtId="166" formatCode="0.000"/>
    <numFmt numFmtId="167" formatCode="0.0000"/>
    <numFmt numFmtId="168" formatCode="#,##0.00\ [$€-40C]"/>
  </numFmts>
  <fonts count="5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Arial Baltic"/>
      <family val="2"/>
      <charset val="186"/>
    </font>
    <font>
      <sz val="10"/>
      <name val="Helv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Baltic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186"/>
    </font>
    <font>
      <b/>
      <sz val="9"/>
      <color indexed="55"/>
      <name val="Arial"/>
      <family val="2"/>
      <charset val="204"/>
    </font>
    <font>
      <sz val="9"/>
      <color indexed="55"/>
      <name val="Arial"/>
      <family val="2"/>
      <charset val="204"/>
    </font>
    <font>
      <sz val="11"/>
      <color indexed="8"/>
      <name val="Calibri"/>
      <family val="2"/>
      <charset val="186"/>
    </font>
    <font>
      <sz val="10"/>
      <color theme="0"/>
      <name val="Arial"/>
      <family val="2"/>
      <charset val="204"/>
    </font>
    <font>
      <sz val="9"/>
      <name val="Arial"/>
      <family val="2"/>
      <charset val="186"/>
    </font>
    <font>
      <i/>
      <sz val="9"/>
      <name val="Arial Baltic"/>
      <family val="2"/>
      <charset val="186"/>
    </font>
    <font>
      <i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1" fillId="0" borderId="0"/>
    <xf numFmtId="0" fontId="4" fillId="0" borderId="0"/>
    <xf numFmtId="0" fontId="24" fillId="0" borderId="0"/>
    <xf numFmtId="0" fontId="9" fillId="0" borderId="0"/>
    <xf numFmtId="0" fontId="9" fillId="0" borderId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3" fillId="0" borderId="0">
      <alignment vertical="center" wrapText="1"/>
    </xf>
    <xf numFmtId="0" fontId="43" fillId="0" borderId="0"/>
    <xf numFmtId="0" fontId="1" fillId="0" borderId="0"/>
    <xf numFmtId="0" fontId="46" fillId="0" borderId="0"/>
    <xf numFmtId="0" fontId="4" fillId="0" borderId="0"/>
    <xf numFmtId="0" fontId="4" fillId="0" borderId="0"/>
  </cellStyleXfs>
  <cellXfs count="500">
    <xf numFmtId="0" fontId="0" fillId="0" borderId="0" xfId="0"/>
    <xf numFmtId="0" fontId="8" fillId="0" borderId="0" xfId="0" applyNumberFormat="1" applyFont="1" applyFill="1" applyBorder="1" applyAlignment="1" applyProtection="1">
      <alignment horizontal="left" vertical="top"/>
    </xf>
    <xf numFmtId="2" fontId="12" fillId="0" borderId="15" xfId="0" applyNumberFormat="1" applyFont="1" applyFill="1" applyBorder="1"/>
    <xf numFmtId="2" fontId="2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2" applyNumberFormat="1" applyFont="1" applyFill="1" applyBorder="1" applyAlignment="1" applyProtection="1">
      <alignment vertical="top"/>
    </xf>
    <xf numFmtId="2" fontId="6" fillId="0" borderId="0" xfId="2" applyNumberFormat="1" applyFont="1" applyFill="1" applyBorder="1" applyAlignment="1"/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2" fontId="19" fillId="0" borderId="0" xfId="0" applyNumberFormat="1" applyFont="1" applyFill="1"/>
    <xf numFmtId="0" fontId="19" fillId="0" borderId="0" xfId="0" applyFont="1" applyFill="1"/>
    <xf numFmtId="0" fontId="4" fillId="0" borderId="0" xfId="0" applyFont="1" applyFill="1" applyBorder="1"/>
    <xf numFmtId="2" fontId="20" fillId="0" borderId="0" xfId="0" applyNumberFormat="1" applyFont="1" applyFill="1"/>
    <xf numFmtId="0" fontId="20" fillId="0" borderId="0" xfId="0" applyFont="1" applyFill="1"/>
    <xf numFmtId="2" fontId="20" fillId="0" borderId="0" xfId="0" applyNumberFormat="1" applyFont="1" applyFill="1" applyBorder="1"/>
    <xf numFmtId="0" fontId="20" fillId="0" borderId="0" xfId="0" applyFont="1" applyFill="1" applyBorder="1"/>
    <xf numFmtId="0" fontId="7" fillId="0" borderId="8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vertical="center"/>
    </xf>
    <xf numFmtId="2" fontId="19" fillId="0" borderId="0" xfId="0" applyNumberFormat="1" applyFont="1" applyFill="1" applyBorder="1"/>
    <xf numFmtId="0" fontId="19" fillId="0" borderId="0" xfId="0" applyFont="1" applyFill="1" applyBorder="1"/>
    <xf numFmtId="0" fontId="0" fillId="0" borderId="0" xfId="0" applyFill="1"/>
    <xf numFmtId="0" fontId="19" fillId="0" borderId="0" xfId="0" applyFont="1" applyFill="1" applyBorder="1" applyAlignment="1"/>
    <xf numFmtId="0" fontId="4" fillId="0" borderId="0" xfId="0" applyFont="1" applyFill="1" applyAlignment="1"/>
    <xf numFmtId="0" fontId="3" fillId="0" borderId="0" xfId="2" applyFont="1" applyFill="1" applyBorder="1"/>
    <xf numFmtId="0" fontId="3" fillId="0" borderId="0" xfId="4" applyFont="1" applyFill="1" applyBorder="1"/>
    <xf numFmtId="49" fontId="6" fillId="0" borderId="0" xfId="0" applyNumberFormat="1" applyFont="1" applyFill="1" applyBorder="1"/>
    <xf numFmtId="49" fontId="3" fillId="0" borderId="0" xfId="0" applyNumberFormat="1" applyFont="1" applyFill="1"/>
    <xf numFmtId="0" fontId="5" fillId="0" borderId="0" xfId="0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/>
    <xf numFmtId="0" fontId="14" fillId="0" borderId="29" xfId="0" applyFont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0" fontId="6" fillId="0" borderId="1" xfId="0" applyFont="1" applyBorder="1"/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4" fontId="14" fillId="0" borderId="5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Alignment="1"/>
    <xf numFmtId="0" fontId="28" fillId="0" borderId="0" xfId="0" applyFont="1"/>
    <xf numFmtId="0" fontId="29" fillId="0" borderId="0" xfId="0" applyFont="1"/>
    <xf numFmtId="0" fontId="30" fillId="0" borderId="0" xfId="7" applyFont="1" applyAlignment="1">
      <alignment horizontal="center"/>
    </xf>
    <xf numFmtId="14" fontId="27" fillId="0" borderId="0" xfId="0" applyNumberFormat="1" applyFont="1" applyFill="1" applyBorder="1" applyAlignment="1" applyProtection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4" fillId="0" borderId="0" xfId="2" applyFont="1"/>
    <xf numFmtId="0" fontId="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164" fontId="14" fillId="0" borderId="11" xfId="6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164" fontId="5" fillId="0" borderId="3" xfId="6" applyNumberFormat="1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164" fontId="5" fillId="0" borderId="6" xfId="6" applyNumberFormat="1" applyFont="1" applyBorder="1" applyAlignment="1">
      <alignment horizontal="right"/>
    </xf>
    <xf numFmtId="0" fontId="5" fillId="0" borderId="27" xfId="0" applyFont="1" applyBorder="1"/>
    <xf numFmtId="0" fontId="2" fillId="0" borderId="28" xfId="0" applyFont="1" applyBorder="1"/>
    <xf numFmtId="0" fontId="6" fillId="0" borderId="0" xfId="7" applyFont="1"/>
    <xf numFmtId="0" fontId="6" fillId="0" borderId="0" xfId="0" applyNumberFormat="1" applyFont="1" applyFill="1" applyBorder="1" applyAlignment="1" applyProtection="1">
      <alignment vertical="top"/>
    </xf>
    <xf numFmtId="14" fontId="13" fillId="0" borderId="0" xfId="0" applyNumberFormat="1" applyFont="1" applyAlignment="1"/>
    <xf numFmtId="165" fontId="6" fillId="0" borderId="0" xfId="0" applyNumberFormat="1" applyFont="1" applyFill="1" applyBorder="1" applyAlignment="1" applyProtection="1">
      <alignment vertical="top"/>
    </xf>
    <xf numFmtId="0" fontId="30" fillId="0" borderId="0" xfId="7" applyFont="1" applyAlignment="1">
      <alignment horizontal="right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14" fillId="0" borderId="1" xfId="0" applyFont="1" applyBorder="1"/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13" xfId="0" applyFont="1" applyBorder="1"/>
    <xf numFmtId="4" fontId="14" fillId="0" borderId="13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5" xfId="0" applyFont="1" applyBorder="1"/>
    <xf numFmtId="0" fontId="14" fillId="0" borderId="33" xfId="0" applyFont="1" applyBorder="1"/>
    <xf numFmtId="0" fontId="14" fillId="0" borderId="34" xfId="0" applyFont="1" applyBorder="1"/>
    <xf numFmtId="4" fontId="14" fillId="0" borderId="34" xfId="0" applyNumberFormat="1" applyFont="1" applyBorder="1" applyAlignment="1">
      <alignment horizontal="center"/>
    </xf>
    <xf numFmtId="4" fontId="14" fillId="0" borderId="35" xfId="0" applyNumberFormat="1" applyFont="1" applyBorder="1" applyAlignment="1">
      <alignment horizontal="center"/>
    </xf>
    <xf numFmtId="0" fontId="14" fillId="0" borderId="12" xfId="0" applyFont="1" applyBorder="1"/>
    <xf numFmtId="0" fontId="6" fillId="0" borderId="13" xfId="0" applyFont="1" applyBorder="1"/>
    <xf numFmtId="0" fontId="6" fillId="0" borderId="36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4" fontId="6" fillId="0" borderId="17" xfId="0" applyNumberFormat="1" applyFont="1" applyBorder="1" applyAlignment="1">
      <alignment horizontal="center" vertical="center"/>
    </xf>
    <xf numFmtId="0" fontId="6" fillId="0" borderId="5" xfId="0" applyFont="1" applyFill="1" applyBorder="1" applyAlignment="1"/>
    <xf numFmtId="4" fontId="6" fillId="0" borderId="22" xfId="0" applyNumberFormat="1" applyFont="1" applyBorder="1" applyAlignment="1">
      <alignment horizontal="center" vertical="center"/>
    </xf>
    <xf numFmtId="0" fontId="14" fillId="0" borderId="37" xfId="0" applyFont="1" applyFill="1" applyBorder="1" applyAlignment="1">
      <alignment horizontal="center"/>
    </xf>
    <xf numFmtId="14" fontId="14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32" fillId="0" borderId="0" xfId="0" applyNumberFormat="1" applyFont="1"/>
    <xf numFmtId="0" fontId="32" fillId="0" borderId="0" xfId="0" applyFont="1"/>
    <xf numFmtId="4" fontId="5" fillId="0" borderId="0" xfId="0" applyNumberFormat="1" applyFont="1"/>
    <xf numFmtId="0" fontId="33" fillId="0" borderId="0" xfId="0" applyFont="1" applyFill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33" fillId="0" borderId="0" xfId="0" applyFont="1" applyBorder="1"/>
    <xf numFmtId="0" fontId="3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7" applyFont="1"/>
    <xf numFmtId="0" fontId="6" fillId="0" borderId="0" xfId="0" applyFont="1"/>
    <xf numFmtId="0" fontId="34" fillId="0" borderId="0" xfId="0" applyFont="1" applyBorder="1"/>
    <xf numFmtId="0" fontId="19" fillId="0" borderId="0" xfId="0" applyFont="1" applyBorder="1"/>
    <xf numFmtId="164" fontId="35" fillId="0" borderId="0" xfId="6" applyNumberFormat="1" applyFont="1" applyBorder="1"/>
    <xf numFmtId="0" fontId="36" fillId="0" borderId="0" xfId="0" applyFont="1" applyBorder="1"/>
    <xf numFmtId="164" fontId="36" fillId="0" borderId="0" xfId="6" applyNumberFormat="1" applyFont="1" applyBorder="1"/>
    <xf numFmtId="0" fontId="37" fillId="0" borderId="0" xfId="0" applyFont="1"/>
    <xf numFmtId="0" fontId="38" fillId="0" borderId="0" xfId="0" applyFont="1"/>
    <xf numFmtId="2" fontId="4" fillId="0" borderId="0" xfId="0" applyNumberFormat="1" applyFont="1" applyFill="1"/>
    <xf numFmtId="0" fontId="5" fillId="0" borderId="0" xfId="0" applyFont="1" applyAlignment="1">
      <alignment horizontal="center"/>
    </xf>
    <xf numFmtId="166" fontId="6" fillId="0" borderId="7" xfId="0" applyNumberFormat="1" applyFont="1" applyFill="1" applyBorder="1" applyAlignment="1">
      <alignment horizontal="right"/>
    </xf>
    <xf numFmtId="164" fontId="31" fillId="0" borderId="29" xfId="6" applyNumberFormat="1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2" fontId="25" fillId="0" borderId="0" xfId="0" applyNumberFormat="1" applyFont="1" applyFill="1" applyBorder="1" applyAlignment="1"/>
    <xf numFmtId="2" fontId="25" fillId="0" borderId="0" xfId="0" applyNumberFormat="1" applyFont="1" applyFill="1" applyBorder="1" applyAlignment="1" applyProtection="1">
      <alignment vertical="top"/>
    </xf>
    <xf numFmtId="166" fontId="25" fillId="0" borderId="0" xfId="0" applyNumberFormat="1" applyFont="1" applyFill="1" applyBorder="1" applyAlignment="1" applyProtection="1">
      <alignment vertical="top"/>
    </xf>
    <xf numFmtId="2" fontId="6" fillId="0" borderId="0" xfId="0" applyNumberFormat="1" applyFont="1" applyFill="1" applyBorder="1" applyAlignment="1"/>
    <xf numFmtId="0" fontId="39" fillId="0" borderId="0" xfId="0" applyFont="1"/>
    <xf numFmtId="0" fontId="23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Border="1" applyAlignment="1"/>
    <xf numFmtId="0" fontId="40" fillId="0" borderId="0" xfId="0" applyFont="1" applyFill="1" applyAlignment="1"/>
    <xf numFmtId="0" fontId="6" fillId="0" borderId="13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18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44" fillId="0" borderId="0" xfId="0" applyNumberFormat="1" applyFont="1" applyFill="1" applyBorder="1" applyAlignment="1">
      <alignment horizontal="center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2" fontId="45" fillId="0" borderId="0" xfId="0" applyNumberFormat="1" applyFont="1" applyFill="1" applyBorder="1" applyAlignment="1"/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2" fontId="19" fillId="0" borderId="0" xfId="0" applyNumberFormat="1" applyFont="1" applyFill="1" applyBorder="1" applyAlignment="1"/>
    <xf numFmtId="2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" fontId="6" fillId="0" borderId="13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2" fontId="18" fillId="0" borderId="0" xfId="0" applyNumberFormat="1" applyFont="1" applyFill="1"/>
    <xf numFmtId="0" fontId="18" fillId="0" borderId="0" xfId="0" applyFont="1" applyFill="1"/>
    <xf numFmtId="2" fontId="18" fillId="0" borderId="0" xfId="0" applyNumberFormat="1" applyFont="1" applyFill="1" applyBorder="1"/>
    <xf numFmtId="0" fontId="18" fillId="0" borderId="0" xfId="0" applyFont="1" applyFill="1" applyBorder="1" applyAlignment="1">
      <alignment vertical="center"/>
    </xf>
    <xf numFmtId="2" fontId="18" fillId="0" borderId="0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/>
    <xf numFmtId="0" fontId="3" fillId="2" borderId="0" xfId="0" applyFont="1" applyFill="1" applyBorder="1" applyAlignment="1">
      <alignment vertical="center"/>
    </xf>
    <xf numFmtId="2" fontId="6" fillId="0" borderId="0" xfId="0" applyNumberFormat="1" applyFont="1" applyBorder="1"/>
    <xf numFmtId="0" fontId="19" fillId="2" borderId="0" xfId="0" applyFont="1" applyFill="1" applyBorder="1"/>
    <xf numFmtId="0" fontId="3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0" fillId="0" borderId="0" xfId="0" applyFill="1" applyAlignment="1"/>
    <xf numFmtId="4" fontId="6" fillId="0" borderId="39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14" fillId="0" borderId="28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165" fontId="3" fillId="0" borderId="0" xfId="0" applyNumberFormat="1" applyFont="1" applyFill="1" applyBorder="1"/>
    <xf numFmtId="0" fontId="6" fillId="0" borderId="5" xfId="0" applyFont="1" applyFill="1" applyBorder="1" applyAlignment="1">
      <alignment wrapText="1"/>
    </xf>
    <xf numFmtId="0" fontId="18" fillId="0" borderId="0" xfId="0" applyFont="1" applyBorder="1"/>
    <xf numFmtId="2" fontId="22" fillId="0" borderId="0" xfId="0" applyNumberFormat="1" applyFont="1" applyBorder="1"/>
    <xf numFmtId="0" fontId="6" fillId="0" borderId="0" xfId="0" applyFont="1" applyFill="1" applyBorder="1"/>
    <xf numFmtId="0" fontId="3" fillId="0" borderId="0" xfId="4" applyFont="1" applyFill="1" applyBorder="1" applyAlignment="1">
      <alignment vertical="center"/>
    </xf>
    <xf numFmtId="0" fontId="6" fillId="0" borderId="18" xfId="0" applyFont="1" applyFill="1" applyBorder="1" applyAlignment="1"/>
    <xf numFmtId="0" fontId="6" fillId="0" borderId="12" xfId="0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vertical="center"/>
    </xf>
    <xf numFmtId="0" fontId="47" fillId="0" borderId="0" xfId="0" applyFont="1" applyFill="1" applyAlignment="1"/>
    <xf numFmtId="2" fontId="3" fillId="0" borderId="0" xfId="0" applyNumberFormat="1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2" fontId="6" fillId="0" borderId="0" xfId="0" applyNumberFormat="1" applyFont="1" applyFill="1" applyBorder="1"/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0" fontId="6" fillId="0" borderId="0" xfId="0" applyNumberFormat="1" applyFont="1" applyFill="1" applyBorder="1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/>
    <xf numFmtId="49" fontId="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14" fontId="5" fillId="0" borderId="0" xfId="0" applyNumberFormat="1" applyFont="1" applyFill="1" applyBorder="1" applyAlignment="1">
      <alignment horizontal="left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top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vertical="center"/>
    </xf>
    <xf numFmtId="49" fontId="3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0" fontId="28" fillId="0" borderId="0" xfId="0" applyFont="1" applyBorder="1"/>
    <xf numFmtId="49" fontId="6" fillId="0" borderId="4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6" fillId="0" borderId="4" xfId="3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>
      <alignment horizontal="center"/>
    </xf>
    <xf numFmtId="49" fontId="6" fillId="0" borderId="1" xfId="3" applyNumberFormat="1" applyFont="1" applyFill="1" applyBorder="1" applyAlignment="1">
      <alignment horizontal="center"/>
    </xf>
    <xf numFmtId="49" fontId="11" fillId="0" borderId="63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168" fontId="13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49" fontId="42" fillId="0" borderId="63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49" fontId="42" fillId="0" borderId="0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4" fontId="27" fillId="0" borderId="0" xfId="0" applyNumberFormat="1" applyFont="1" applyFill="1" applyBorder="1" applyAlignment="1" applyProtection="1">
      <alignment horizontal="right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8" xfId="0" applyNumberFormat="1" applyFont="1" applyFill="1" applyBorder="1" applyAlignment="1">
      <alignment horizontal="center" vertical="center"/>
    </xf>
    <xf numFmtId="1" fontId="6" fillId="0" borderId="29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Alignment="1">
      <alignment horizontal="center"/>
    </xf>
    <xf numFmtId="49" fontId="11" fillId="0" borderId="40" xfId="0" applyNumberFormat="1" applyFont="1" applyFill="1" applyBorder="1" applyAlignment="1">
      <alignment horizontal="center" vertical="center" wrapText="1"/>
    </xf>
    <xf numFmtId="49" fontId="11" fillId="0" borderId="47" xfId="0" applyNumberFormat="1" applyFont="1" applyFill="1" applyBorder="1" applyAlignment="1">
      <alignment horizontal="center" vertical="center" wrapText="1"/>
    </xf>
    <xf numFmtId="49" fontId="11" fillId="0" borderId="52" xfId="0" applyNumberFormat="1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 wrapText="1"/>
    </xf>
    <xf numFmtId="49" fontId="11" fillId="0" borderId="46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Fill="1" applyBorder="1" applyAlignment="1">
      <alignment horizontal="center" vertical="center" wrapText="1"/>
    </xf>
    <xf numFmtId="49" fontId="11" fillId="0" borderId="49" xfId="0" applyNumberFormat="1" applyFont="1" applyFill="1" applyBorder="1" applyAlignment="1">
      <alignment horizontal="center" vertical="center" wrapText="1"/>
    </xf>
    <xf numFmtId="49" fontId="11" fillId="0" borderId="50" xfId="0" applyNumberFormat="1" applyFont="1" applyFill="1" applyBorder="1" applyAlignment="1">
      <alignment horizontal="center" vertical="center" wrapText="1"/>
    </xf>
    <xf numFmtId="0" fontId="7" fillId="0" borderId="38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2" fontId="6" fillId="0" borderId="43" xfId="0" applyNumberFormat="1" applyFont="1" applyFill="1" applyBorder="1" applyAlignment="1">
      <alignment horizontal="center" vertical="center"/>
    </xf>
    <xf numFmtId="2" fontId="6" fillId="0" borderId="60" xfId="0" applyNumberFormat="1" applyFont="1" applyFill="1" applyBorder="1" applyAlignment="1">
      <alignment horizontal="center" vertical="center"/>
    </xf>
    <xf numFmtId="2" fontId="6" fillId="0" borderId="55" xfId="0" applyNumberFormat="1" applyFont="1" applyFill="1" applyBorder="1" applyAlignment="1">
      <alignment horizontal="center" vertical="center"/>
    </xf>
    <xf numFmtId="2" fontId="6" fillId="0" borderId="61" xfId="0" applyNumberFormat="1" applyFont="1" applyFill="1" applyBorder="1" applyAlignment="1">
      <alignment horizontal="center" vertical="center"/>
    </xf>
    <xf numFmtId="165" fontId="6" fillId="0" borderId="55" xfId="0" applyNumberFormat="1" applyFont="1" applyFill="1" applyBorder="1" applyAlignment="1">
      <alignment horizontal="center" vertical="center"/>
    </xf>
    <xf numFmtId="165" fontId="6" fillId="0" borderId="61" xfId="0" applyNumberFormat="1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1" fontId="6" fillId="0" borderId="6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167" fontId="6" fillId="0" borderId="5" xfId="0" applyNumberFormat="1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/>
    </xf>
    <xf numFmtId="167" fontId="6" fillId="0" borderId="5" xfId="0" applyNumberFormat="1" applyFont="1" applyFill="1" applyBorder="1" applyAlignment="1">
      <alignment horizontal="center"/>
    </xf>
    <xf numFmtId="167" fontId="6" fillId="0" borderId="6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5" xfId="3" applyFont="1" applyFill="1" applyBorder="1" applyAlignment="1">
      <alignment horizontal="right"/>
    </xf>
    <xf numFmtId="0" fontId="6" fillId="0" borderId="2" xfId="3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right" wrapText="1"/>
    </xf>
    <xf numFmtId="0" fontId="6" fillId="0" borderId="5" xfId="3" applyFont="1" applyFill="1" applyBorder="1" applyAlignment="1">
      <alignment horizontal="left"/>
    </xf>
    <xf numFmtId="0" fontId="16" fillId="0" borderId="5" xfId="0" applyNumberFormat="1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 wrapText="1"/>
    </xf>
    <xf numFmtId="166" fontId="6" fillId="0" borderId="5" xfId="0" applyNumberFormat="1" applyFont="1" applyFill="1" applyBorder="1" applyAlignment="1">
      <alignment horizontal="center" vertical="center"/>
    </xf>
    <xf numFmtId="166" fontId="6" fillId="0" borderId="6" xfId="0" applyNumberFormat="1" applyFont="1" applyFill="1" applyBorder="1" applyAlignment="1">
      <alignment horizontal="center" vertical="center"/>
    </xf>
    <xf numFmtId="2" fontId="6" fillId="0" borderId="5" xfId="3" applyNumberFormat="1" applyFont="1" applyFill="1" applyBorder="1" applyAlignment="1">
      <alignment horizontal="center" vertical="center"/>
    </xf>
    <xf numFmtId="2" fontId="6" fillId="0" borderId="6" xfId="3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 vertical="center" wrapText="1"/>
    </xf>
    <xf numFmtId="49" fontId="16" fillId="0" borderId="5" xfId="0" applyNumberFormat="1" applyFont="1" applyFill="1" applyBorder="1" applyAlignment="1">
      <alignment horizontal="right" vertical="center"/>
    </xf>
    <xf numFmtId="0" fontId="16" fillId="0" borderId="5" xfId="3" applyFont="1" applyFill="1" applyBorder="1" applyAlignment="1">
      <alignment horizontal="righ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6" fillId="0" borderId="5" xfId="4" applyNumberFormat="1" applyFont="1" applyFill="1" applyBorder="1" applyAlignment="1" applyProtection="1">
      <alignment horizontal="right" vertical="center" wrapText="1"/>
    </xf>
    <xf numFmtId="0" fontId="16" fillId="0" borderId="5" xfId="0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vertical="center" wrapText="1"/>
    </xf>
    <xf numFmtId="1" fontId="6" fillId="0" borderId="5" xfId="3" applyNumberFormat="1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5" xfId="4" applyNumberFormat="1" applyFont="1" applyFill="1" applyBorder="1" applyAlignment="1">
      <alignment horizontal="center"/>
    </xf>
    <xf numFmtId="165" fontId="6" fillId="0" borderId="6" xfId="4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4" fontId="6" fillId="0" borderId="5" xfId="5" applyNumberFormat="1" applyFont="1" applyFill="1" applyBorder="1" applyAlignment="1">
      <alignment horizontal="center" vertical="center" wrapText="1"/>
    </xf>
    <xf numFmtId="4" fontId="6" fillId="0" borderId="6" xfId="5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8" fillId="0" borderId="28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left"/>
    </xf>
    <xf numFmtId="0" fontId="16" fillId="0" borderId="5" xfId="2" applyFont="1" applyFill="1" applyBorder="1" applyAlignment="1">
      <alignment horizontal="right"/>
    </xf>
    <xf numFmtId="0" fontId="6" fillId="0" borderId="5" xfId="2" applyFont="1" applyFill="1" applyBorder="1" applyAlignment="1">
      <alignment horizontal="left"/>
    </xf>
    <xf numFmtId="0" fontId="16" fillId="0" borderId="5" xfId="2" applyFont="1" applyFill="1" applyBorder="1" applyAlignment="1">
      <alignment horizontal="right" wrapText="1"/>
    </xf>
    <xf numFmtId="0" fontId="16" fillId="0" borderId="5" xfId="2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5" xfId="14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/>
    </xf>
    <xf numFmtId="1" fontId="6" fillId="0" borderId="5" xfId="3" applyNumberFormat="1" applyFont="1" applyFill="1" applyBorder="1" applyAlignment="1">
      <alignment horizontal="center"/>
    </xf>
    <xf numFmtId="0" fontId="6" fillId="0" borderId="5" xfId="14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2" fontId="6" fillId="0" borderId="5" xfId="4" applyNumberFormat="1" applyFont="1" applyFill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2" fontId="6" fillId="0" borderId="5" xfId="0" applyNumberFormat="1" applyFont="1" applyFill="1" applyBorder="1" applyAlignment="1">
      <alignment horizontal="left" vertical="center" wrapText="1"/>
    </xf>
    <xf numFmtId="0" fontId="49" fillId="0" borderId="5" xfId="0" applyFont="1" applyFill="1" applyBorder="1" applyAlignment="1">
      <alignment horizontal="right"/>
    </xf>
    <xf numFmtId="0" fontId="6" fillId="0" borderId="5" xfId="3" applyFont="1" applyFill="1" applyBorder="1" applyAlignment="1">
      <alignment horizontal="left" vertical="center" wrapText="1"/>
    </xf>
    <xf numFmtId="49" fontId="16" fillId="0" borderId="5" xfId="0" applyNumberFormat="1" applyFont="1" applyFill="1" applyBorder="1" applyAlignment="1">
      <alignment horizontal="right"/>
    </xf>
    <xf numFmtId="0" fontId="6" fillId="0" borderId="5" xfId="4" applyFont="1" applyFill="1" applyBorder="1" applyAlignment="1">
      <alignment horizontal="left" vertical="center" wrapText="1"/>
    </xf>
    <xf numFmtId="49" fontId="11" fillId="0" borderId="64" xfId="0" applyNumberFormat="1" applyFont="1" applyFill="1" applyBorder="1" applyAlignment="1">
      <alignment horizontal="center" vertical="center" wrapText="1"/>
    </xf>
    <xf numFmtId="49" fontId="11" fillId="0" borderId="65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2" fontId="48" fillId="0" borderId="5" xfId="0" applyNumberFormat="1" applyFont="1" applyFill="1" applyBorder="1" applyAlignment="1">
      <alignment horizontal="center" vertical="center"/>
    </xf>
    <xf numFmtId="2" fontId="48" fillId="0" borderId="6" xfId="0" applyNumberFormat="1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2" fontId="6" fillId="0" borderId="5" xfId="3" applyNumberFormat="1" applyFont="1" applyFill="1" applyBorder="1" applyAlignment="1">
      <alignment horizontal="center"/>
    </xf>
    <xf numFmtId="2" fontId="6" fillId="0" borderId="6" xfId="3" applyNumberFormat="1" applyFont="1" applyFill="1" applyBorder="1" applyAlignment="1">
      <alignment horizontal="center"/>
    </xf>
    <xf numFmtId="1" fontId="6" fillId="0" borderId="5" xfId="4" applyNumberFormat="1" applyFont="1" applyFill="1" applyBorder="1" applyAlignment="1">
      <alignment horizontal="center" vertical="center"/>
    </xf>
    <xf numFmtId="1" fontId="6" fillId="0" borderId="5" xfId="4" applyNumberFormat="1" applyFont="1" applyFill="1" applyBorder="1" applyAlignment="1">
      <alignment horizontal="center"/>
    </xf>
    <xf numFmtId="2" fontId="6" fillId="0" borderId="5" xfId="4" applyNumberFormat="1" applyFont="1" applyFill="1" applyBorder="1" applyAlignment="1">
      <alignment horizontal="center"/>
    </xf>
    <xf numFmtId="2" fontId="6" fillId="0" borderId="6" xfId="4" applyNumberFormat="1" applyFont="1" applyFill="1" applyBorder="1" applyAlignment="1">
      <alignment horizontal="center"/>
    </xf>
    <xf numFmtId="0" fontId="48" fillId="0" borderId="5" xfId="0" applyFont="1" applyFill="1" applyBorder="1" applyAlignment="1">
      <alignment horizontal="left" vertical="center" wrapText="1"/>
    </xf>
    <xf numFmtId="0" fontId="48" fillId="0" borderId="28" xfId="0" applyFont="1" applyFill="1" applyBorder="1" applyAlignment="1">
      <alignment horizontal="left" wrapText="1"/>
    </xf>
    <xf numFmtId="0" fontId="50" fillId="0" borderId="5" xfId="3" applyFont="1" applyFill="1" applyBorder="1" applyAlignment="1">
      <alignment horizontal="right" vertical="center" wrapText="1"/>
    </xf>
    <xf numFmtId="0" fontId="48" fillId="0" borderId="5" xfId="0" applyFont="1" applyFill="1" applyBorder="1" applyAlignment="1">
      <alignment horizontal="left"/>
    </xf>
    <xf numFmtId="0" fontId="16" fillId="0" borderId="5" xfId="4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/>
    </xf>
    <xf numFmtId="0" fontId="15" fillId="0" borderId="5" xfId="3" applyFont="1" applyFill="1" applyBorder="1" applyAlignment="1">
      <alignment horizontal="right"/>
    </xf>
    <xf numFmtId="0" fontId="6" fillId="0" borderId="5" xfId="4" applyFont="1" applyFill="1" applyBorder="1" applyAlignment="1">
      <alignment horizontal="left"/>
    </xf>
    <xf numFmtId="0" fontId="16" fillId="0" borderId="5" xfId="4" applyFont="1" applyFill="1" applyBorder="1" applyAlignment="1">
      <alignment horizontal="right" vertical="center" wrapText="1"/>
    </xf>
    <xf numFmtId="2" fontId="6" fillId="0" borderId="43" xfId="0" applyNumberFormat="1" applyFont="1" applyFill="1" applyBorder="1" applyAlignment="1">
      <alignment horizontal="center"/>
    </xf>
    <xf numFmtId="2" fontId="6" fillId="0" borderId="60" xfId="0" applyNumberFormat="1" applyFont="1" applyFill="1" applyBorder="1" applyAlignment="1">
      <alignment horizontal="center"/>
    </xf>
    <xf numFmtId="0" fontId="16" fillId="0" borderId="5" xfId="3" applyFont="1" applyFill="1" applyBorder="1" applyAlignment="1">
      <alignment horizontal="right" wrapText="1"/>
    </xf>
    <xf numFmtId="2" fontId="6" fillId="0" borderId="2" xfId="3" applyNumberFormat="1" applyFont="1" applyFill="1" applyBorder="1" applyAlignment="1">
      <alignment horizontal="center"/>
    </xf>
    <xf numFmtId="2" fontId="6" fillId="0" borderId="3" xfId="3" applyNumberFormat="1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6" fillId="0" borderId="5" xfId="4" applyFont="1" applyFill="1" applyBorder="1" applyAlignment="1">
      <alignment horizontal="right"/>
    </xf>
    <xf numFmtId="0" fontId="14" fillId="0" borderId="5" xfId="3" applyFont="1" applyFill="1" applyBorder="1" applyAlignment="1">
      <alignment horizontal="center"/>
    </xf>
    <xf numFmtId="0" fontId="16" fillId="0" borderId="5" xfId="0" applyFont="1" applyFill="1" applyBorder="1" applyAlignment="1">
      <alignment horizontal="left" vertical="center" wrapText="1"/>
    </xf>
    <xf numFmtId="165" fontId="6" fillId="0" borderId="5" xfId="3" applyNumberFormat="1" applyFont="1" applyFill="1" applyBorder="1" applyAlignment="1">
      <alignment horizontal="center" vertical="center"/>
    </xf>
    <xf numFmtId="165" fontId="6" fillId="0" borderId="6" xfId="3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</cellXfs>
  <cellStyles count="15">
    <cellStyle name="Comma" xfId="6" builtinId="3"/>
    <cellStyle name="Normal" xfId="0" builtinId="0"/>
    <cellStyle name="Normal 15" xfId="11"/>
    <cellStyle name="Normal 2" xfId="12"/>
    <cellStyle name="Normal 2 4" xfId="10"/>
    <cellStyle name="Normal 3" xfId="13"/>
    <cellStyle name="Normal 4" xfId="8"/>
    <cellStyle name="Normal 9" xfId="9"/>
    <cellStyle name="Normal_Sheet1" xfId="1"/>
    <cellStyle name="Style 1" xfId="5"/>
    <cellStyle name="Обычный 2" xfId="2"/>
    <cellStyle name="Обычный 2 2" xfId="3"/>
    <cellStyle name="Обычный 2 3" xfId="14"/>
    <cellStyle name="Обычный 3" xfId="7"/>
    <cellStyle name="Стиль 1" xfId="4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zoomScale="120" zoomScaleNormal="120" zoomScaleSheetLayoutView="100" workbookViewId="0">
      <selection activeCell="G24" sqref="G24"/>
    </sheetView>
  </sheetViews>
  <sheetFormatPr defaultColWidth="9.140625" defaultRowHeight="12.75"/>
  <cols>
    <col min="1" max="1" width="9.28515625" style="35" bestFit="1" customWidth="1"/>
    <col min="2" max="2" width="45.7109375" style="35" customWidth="1"/>
    <col min="3" max="3" width="23" style="35" bestFit="1" customWidth="1"/>
    <col min="4" max="5" width="9.140625" style="35"/>
    <col min="6" max="6" width="7.7109375" style="35" bestFit="1" customWidth="1"/>
    <col min="7" max="16384" width="9.140625" style="35"/>
  </cols>
  <sheetData>
    <row r="1" spans="1:4">
      <c r="A1" s="35" t="s">
        <v>55</v>
      </c>
      <c r="C1" s="134" t="s">
        <v>56</v>
      </c>
    </row>
    <row r="2" spans="1:4">
      <c r="C2" s="134" t="s">
        <v>57</v>
      </c>
    </row>
    <row r="3" spans="1:4">
      <c r="C3" s="134" t="s">
        <v>58</v>
      </c>
    </row>
    <row r="4" spans="1:4">
      <c r="C4" s="134" t="s">
        <v>59</v>
      </c>
    </row>
    <row r="5" spans="1:4">
      <c r="C5" s="134"/>
    </row>
    <row r="6" spans="1:4">
      <c r="C6" s="134" t="s">
        <v>60</v>
      </c>
    </row>
    <row r="7" spans="1:4">
      <c r="C7" s="134"/>
    </row>
    <row r="8" spans="1:4">
      <c r="C8" s="134" t="s">
        <v>61</v>
      </c>
    </row>
    <row r="9" spans="1:4">
      <c r="C9" s="112"/>
    </row>
    <row r="10" spans="1:4">
      <c r="C10" s="112"/>
    </row>
    <row r="12" spans="1:4">
      <c r="A12" s="135" t="s">
        <v>158</v>
      </c>
      <c r="D12" s="104"/>
    </row>
    <row r="13" spans="1:4">
      <c r="A13" s="135" t="s">
        <v>159</v>
      </c>
      <c r="D13" s="104"/>
    </row>
    <row r="14" spans="1:4">
      <c r="A14" s="135" t="s">
        <v>160</v>
      </c>
      <c r="D14" s="104"/>
    </row>
    <row r="15" spans="1:4">
      <c r="A15" s="135" t="s">
        <v>142</v>
      </c>
    </row>
    <row r="16" spans="1:4">
      <c r="A16" s="62"/>
    </row>
    <row r="17" spans="1:6" ht="12.75" customHeight="1"/>
    <row r="18" spans="1:6" ht="15.75">
      <c r="A18" s="267" t="s">
        <v>62</v>
      </c>
      <c r="B18" s="267"/>
      <c r="C18" s="267"/>
    </row>
    <row r="19" spans="1:6" ht="13.5" thickBot="1"/>
    <row r="20" spans="1:6" ht="15.75" thickBot="1">
      <c r="A20" s="59" t="s">
        <v>53</v>
      </c>
      <c r="B20" s="60" t="s">
        <v>54</v>
      </c>
      <c r="C20" s="61" t="s">
        <v>134</v>
      </c>
      <c r="D20" s="113"/>
    </row>
    <row r="21" spans="1:6" s="117" customFormat="1" ht="16.5" thickTop="1" thickBot="1">
      <c r="A21" s="63"/>
      <c r="B21" s="64" t="s">
        <v>161</v>
      </c>
      <c r="C21" s="65"/>
      <c r="D21" s="114"/>
      <c r="E21" s="115"/>
      <c r="F21" s="116"/>
    </row>
    <row r="22" spans="1:6" ht="15.75" thickTop="1">
      <c r="A22" s="66"/>
      <c r="B22" s="67" t="s">
        <v>12</v>
      </c>
      <c r="C22" s="68"/>
      <c r="D22" s="113"/>
      <c r="E22" s="118"/>
      <c r="F22" s="116"/>
    </row>
    <row r="23" spans="1:6" ht="15">
      <c r="A23" s="69"/>
      <c r="B23" s="70" t="s">
        <v>63</v>
      </c>
      <c r="C23" s="71"/>
      <c r="D23" s="113"/>
      <c r="E23" s="119"/>
      <c r="F23" s="116"/>
    </row>
    <row r="24" spans="1:6" ht="16.5" thickBot="1">
      <c r="A24" s="72"/>
      <c r="B24" s="73" t="s">
        <v>64</v>
      </c>
      <c r="C24" s="132"/>
      <c r="D24" s="113"/>
      <c r="E24" s="119"/>
      <c r="F24" s="116"/>
    </row>
    <row r="26" spans="1:6" ht="15">
      <c r="B26" s="53"/>
      <c r="D26" s="113"/>
    </row>
    <row r="27" spans="1:6" s="54" customFormat="1">
      <c r="A27" s="74"/>
      <c r="B27" s="74"/>
      <c r="C27" s="75"/>
      <c r="D27" s="75"/>
      <c r="E27" s="35"/>
      <c r="F27" s="120"/>
    </row>
    <row r="28" spans="1:6" s="54" customFormat="1" ht="15">
      <c r="A28" s="121"/>
      <c r="B28" s="121"/>
      <c r="C28" s="75"/>
      <c r="D28" s="75"/>
      <c r="E28" s="110"/>
      <c r="F28" s="35"/>
    </row>
    <row r="29" spans="1:6" s="54" customFormat="1" ht="15">
      <c r="A29" s="55"/>
      <c r="B29" s="121"/>
      <c r="C29" s="76">
        <f ca="1">TODAY()</f>
        <v>42146</v>
      </c>
      <c r="D29" s="77"/>
      <c r="E29" s="110"/>
      <c r="F29" s="35"/>
    </row>
    <row r="30" spans="1:6" ht="15.75" hidden="1">
      <c r="A30" s="122"/>
      <c r="B30" s="123"/>
      <c r="C30" s="124"/>
    </row>
    <row r="31" spans="1:6" ht="15.75" hidden="1">
      <c r="A31" s="122"/>
      <c r="B31" s="123"/>
      <c r="C31" s="124"/>
    </row>
    <row r="32" spans="1:6" ht="15.75" hidden="1">
      <c r="A32" s="125"/>
      <c r="B32" s="125"/>
      <c r="C32" s="126"/>
    </row>
    <row r="36" spans="2:2" ht="18">
      <c r="B36" s="127"/>
    </row>
    <row r="37" spans="2:2" ht="15.75">
      <c r="B37" s="141"/>
    </row>
    <row r="44" spans="2:2" ht="18">
      <c r="B44" s="127"/>
    </row>
    <row r="46" spans="2:2" ht="20.25">
      <c r="B46" s="128"/>
    </row>
    <row r="172" spans="2:3" ht="13.5">
      <c r="B172" s="78" t="s">
        <v>65</v>
      </c>
      <c r="C172" s="58">
        <f ca="1">TODAY()</f>
        <v>42146</v>
      </c>
    </row>
    <row r="175" spans="2:3">
      <c r="C175" s="129"/>
    </row>
    <row r="176" spans="2:3">
      <c r="B176" s="130"/>
    </row>
    <row r="177" spans="2:2" ht="18">
      <c r="B177" s="127" t="s">
        <v>66</v>
      </c>
    </row>
    <row r="178" spans="2:2">
      <c r="B178" s="104"/>
    </row>
    <row r="179" spans="2:2">
      <c r="B179" s="268"/>
    </row>
    <row r="180" spans="2:2">
      <c r="B180" s="268"/>
    </row>
  </sheetData>
  <mergeCells count="2">
    <mergeCell ref="A18:C18"/>
    <mergeCell ref="B179:B180"/>
  </mergeCells>
  <phoneticPr fontId="0" type="noConversion"/>
  <printOptions horizontalCentered="1"/>
  <pageMargins left="0.51181102362204722" right="0.70866141732283472" top="0.59055118110236227" bottom="0.78740157480314965" header="0.31496062992125984" footer="0.31496062992125984"/>
  <pageSetup paperSize="9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179"/>
  <sheetViews>
    <sheetView topLeftCell="A52" zoomScaleNormal="100" workbookViewId="0">
      <selection sqref="A1:I87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7.570312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64" bestFit="1" customWidth="1"/>
    <col min="18" max="18" width="10" style="165" bestFit="1" customWidth="1"/>
    <col min="19" max="19" width="11.7109375" style="165" bestFit="1" customWidth="1"/>
    <col min="20" max="16384" width="9.140625" style="4"/>
  </cols>
  <sheetData>
    <row r="1" spans="1:21" s="11" customFormat="1" ht="14.25">
      <c r="A1" s="305" t="s">
        <v>90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21" s="11" customFormat="1" ht="14.25">
      <c r="A2" s="304" t="str">
        <f>Kopsavilkums!C19</f>
        <v>Starpsienas un griesti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21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Q3" s="12"/>
      <c r="R3" s="13"/>
      <c r="S3" s="13"/>
    </row>
    <row r="4" spans="1:21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Q4" s="12"/>
      <c r="R4" s="13"/>
      <c r="S4" s="13"/>
    </row>
    <row r="5" spans="1:21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/>
      <c r="K5"/>
      <c r="L5"/>
      <c r="M5"/>
      <c r="N5"/>
      <c r="O5"/>
      <c r="P5"/>
      <c r="Q5" s="12"/>
      <c r="R5" s="13"/>
      <c r="S5" s="13"/>
    </row>
    <row r="6" spans="1:21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/>
      <c r="K6"/>
      <c r="L6"/>
      <c r="M6"/>
      <c r="N6"/>
      <c r="O6"/>
      <c r="P6"/>
      <c r="Q6" s="12"/>
      <c r="R6" s="13"/>
      <c r="S6" s="13"/>
    </row>
    <row r="7" spans="1:21" ht="13.5" thickBot="1">
      <c r="E7" s="14"/>
      <c r="F7" s="14"/>
      <c r="G7" s="14"/>
      <c r="H7" s="14"/>
      <c r="I7" s="14"/>
      <c r="J7"/>
      <c r="K7"/>
      <c r="L7"/>
      <c r="M7"/>
      <c r="N7"/>
      <c r="O7"/>
      <c r="P7"/>
    </row>
    <row r="8" spans="1:21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622</v>
      </c>
      <c r="I8" s="283"/>
      <c r="J8"/>
      <c r="K8"/>
      <c r="L8"/>
      <c r="M8"/>
      <c r="N8"/>
      <c r="O8"/>
      <c r="Q8" s="166"/>
      <c r="R8" s="147"/>
      <c r="S8" s="147"/>
    </row>
    <row r="9" spans="1:21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P9"/>
      <c r="Q9"/>
      <c r="R9"/>
      <c r="S9"/>
      <c r="T9"/>
      <c r="U9"/>
    </row>
    <row r="10" spans="1:21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P10"/>
      <c r="Q10"/>
      <c r="R10"/>
      <c r="S10"/>
      <c r="T10"/>
      <c r="U10"/>
    </row>
    <row r="11" spans="1:21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P11"/>
      <c r="Q11"/>
      <c r="R11"/>
      <c r="S11"/>
      <c r="T11"/>
      <c r="U11"/>
    </row>
    <row r="12" spans="1:21" s="14" customFormat="1" ht="13.5" thickBot="1">
      <c r="A12" s="446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P12"/>
      <c r="Q12"/>
      <c r="R12"/>
      <c r="S12"/>
      <c r="T12"/>
      <c r="U12"/>
    </row>
    <row r="13" spans="1:21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/>
      <c r="K13"/>
      <c r="L13"/>
      <c r="M13"/>
      <c r="N13"/>
      <c r="O13"/>
      <c r="P13"/>
      <c r="Q13"/>
      <c r="R13"/>
      <c r="S13"/>
      <c r="T13"/>
      <c r="U13"/>
    </row>
    <row r="14" spans="1:21" s="9" customFormat="1" ht="29.25" customHeight="1" thickTop="1">
      <c r="A14" s="235">
        <v>1</v>
      </c>
      <c r="B14" s="448" t="s">
        <v>264</v>
      </c>
      <c r="C14" s="448"/>
      <c r="D14" s="448"/>
      <c r="E14" s="448"/>
      <c r="F14" s="449" t="s">
        <v>7</v>
      </c>
      <c r="G14" s="449"/>
      <c r="H14" s="350">
        <f>73.5+1.76*4</f>
        <v>80.540000000000006</v>
      </c>
      <c r="I14" s="351"/>
      <c r="J14"/>
      <c r="K14"/>
      <c r="L14"/>
      <c r="M14"/>
      <c r="N14"/>
      <c r="O14"/>
      <c r="P14"/>
      <c r="Q14"/>
      <c r="R14"/>
      <c r="S14"/>
      <c r="T14"/>
      <c r="U14"/>
    </row>
    <row r="15" spans="1:21" s="5" customFormat="1" ht="14.25">
      <c r="A15" s="236" t="s">
        <v>69</v>
      </c>
      <c r="B15" s="388" t="s">
        <v>254</v>
      </c>
      <c r="C15" s="388"/>
      <c r="D15" s="388"/>
      <c r="E15" s="388"/>
      <c r="F15" s="403" t="s">
        <v>7</v>
      </c>
      <c r="G15" s="403"/>
      <c r="H15" s="275">
        <f>H14</f>
        <v>80.540000000000006</v>
      </c>
      <c r="I15" s="276"/>
      <c r="J15"/>
      <c r="K15"/>
      <c r="L15"/>
      <c r="M15"/>
      <c r="N15"/>
      <c r="O15"/>
      <c r="P15"/>
      <c r="Q15"/>
      <c r="R15"/>
      <c r="S15"/>
      <c r="T15"/>
      <c r="U15"/>
    </row>
    <row r="16" spans="1:21" s="5" customFormat="1" ht="14.25">
      <c r="A16" s="236"/>
      <c r="B16" s="387" t="s">
        <v>242</v>
      </c>
      <c r="C16" s="387"/>
      <c r="D16" s="387"/>
      <c r="E16" s="387"/>
      <c r="F16" s="447" t="s">
        <v>243</v>
      </c>
      <c r="G16" s="447"/>
      <c r="H16" s="367">
        <f>H15*18/1000</f>
        <v>1.4497200000000001</v>
      </c>
      <c r="I16" s="368"/>
      <c r="J16"/>
      <c r="K16"/>
      <c r="L16"/>
      <c r="M16"/>
      <c r="N16"/>
      <c r="O16"/>
      <c r="P16"/>
      <c r="Q16"/>
      <c r="R16"/>
      <c r="S16"/>
      <c r="T16"/>
      <c r="U16"/>
    </row>
    <row r="17" spans="1:21" s="5" customFormat="1" ht="14.25">
      <c r="A17" s="236"/>
      <c r="B17" s="357" t="s">
        <v>244</v>
      </c>
      <c r="C17" s="357"/>
      <c r="D17" s="357"/>
      <c r="E17" s="357"/>
      <c r="F17" s="295" t="s">
        <v>245</v>
      </c>
      <c r="G17" s="295"/>
      <c r="H17" s="354">
        <f>ROUND(H19/0.6/200*1.1,2)</f>
        <v>1.3</v>
      </c>
      <c r="I17" s="355"/>
      <c r="J17"/>
      <c r="K17"/>
      <c r="L17"/>
      <c r="M17"/>
      <c r="N17"/>
      <c r="O17"/>
      <c r="P17"/>
      <c r="Q17"/>
      <c r="R17"/>
      <c r="S17"/>
      <c r="T17"/>
      <c r="U17"/>
    </row>
    <row r="18" spans="1:21" s="5" customFormat="1" ht="14.25">
      <c r="A18" s="236"/>
      <c r="B18" s="387" t="s">
        <v>255</v>
      </c>
      <c r="C18" s="387"/>
      <c r="D18" s="387"/>
      <c r="E18" s="387"/>
      <c r="F18" s="295" t="s">
        <v>31</v>
      </c>
      <c r="G18" s="295"/>
      <c r="H18" s="365">
        <f>H15*2.2*2</f>
        <v>354.37600000000003</v>
      </c>
      <c r="I18" s="366"/>
      <c r="J18"/>
      <c r="K18"/>
      <c r="L18"/>
      <c r="M18"/>
      <c r="N18"/>
      <c r="O18"/>
      <c r="P18"/>
      <c r="Q18"/>
      <c r="R18"/>
      <c r="S18"/>
      <c r="T18"/>
      <c r="U18"/>
    </row>
    <row r="19" spans="1:21" s="5" customFormat="1" ht="14.25">
      <c r="A19" s="236"/>
      <c r="B19" s="387" t="s">
        <v>256</v>
      </c>
      <c r="C19" s="387"/>
      <c r="D19" s="387"/>
      <c r="E19" s="387"/>
      <c r="F19" s="295" t="s">
        <v>31</v>
      </c>
      <c r="G19" s="295"/>
      <c r="H19" s="365">
        <f>H15*0.8*2.2</f>
        <v>141.75040000000001</v>
      </c>
      <c r="I19" s="366"/>
      <c r="J19"/>
      <c r="K19"/>
      <c r="L19"/>
      <c r="M19"/>
      <c r="N19"/>
      <c r="O19"/>
      <c r="P19"/>
      <c r="Q19"/>
      <c r="R19"/>
      <c r="S19"/>
      <c r="T19"/>
      <c r="U19"/>
    </row>
    <row r="20" spans="1:21" s="5" customFormat="1" ht="14.25">
      <c r="A20" s="236"/>
      <c r="B20" s="387" t="s">
        <v>257</v>
      </c>
      <c r="C20" s="387"/>
      <c r="D20" s="387"/>
      <c r="E20" s="387"/>
      <c r="F20" s="295" t="s">
        <v>16</v>
      </c>
      <c r="G20" s="295"/>
      <c r="H20" s="373">
        <v>8</v>
      </c>
      <c r="I20" s="374"/>
      <c r="J20"/>
      <c r="K20"/>
      <c r="L20"/>
      <c r="M20"/>
      <c r="N20"/>
      <c r="O20"/>
      <c r="P20"/>
      <c r="Q20"/>
      <c r="R20"/>
      <c r="S20"/>
      <c r="T20"/>
      <c r="U20"/>
    </row>
    <row r="21" spans="1:21" s="5" customFormat="1" ht="14.25">
      <c r="A21" s="236"/>
      <c r="B21" s="387" t="s">
        <v>246</v>
      </c>
      <c r="C21" s="387"/>
      <c r="D21" s="387"/>
      <c r="E21" s="387"/>
      <c r="F21" s="295" t="s">
        <v>31</v>
      </c>
      <c r="G21" s="295"/>
      <c r="H21" s="365">
        <f>H18</f>
        <v>354.37600000000003</v>
      </c>
      <c r="I21" s="366"/>
      <c r="J21"/>
      <c r="K21"/>
      <c r="L21"/>
      <c r="M21"/>
      <c r="N21"/>
      <c r="O21"/>
      <c r="P21"/>
      <c r="Q21"/>
      <c r="R21"/>
      <c r="S21"/>
      <c r="T21"/>
      <c r="U21"/>
    </row>
    <row r="22" spans="1:21" s="5" customFormat="1" ht="14.25">
      <c r="A22" s="236" t="s">
        <v>70</v>
      </c>
      <c r="B22" s="388" t="s">
        <v>258</v>
      </c>
      <c r="C22" s="388"/>
      <c r="D22" s="388"/>
      <c r="E22" s="388"/>
      <c r="F22" s="403" t="s">
        <v>7</v>
      </c>
      <c r="G22" s="403"/>
      <c r="H22" s="367">
        <v>73.5</v>
      </c>
      <c r="I22" s="368"/>
      <c r="J22"/>
      <c r="K22"/>
      <c r="L22"/>
      <c r="M22"/>
      <c r="N22"/>
      <c r="O22"/>
      <c r="P22"/>
      <c r="Q22"/>
      <c r="R22"/>
      <c r="S22"/>
      <c r="T22"/>
      <c r="U22"/>
    </row>
    <row r="23" spans="1:21" s="9" customFormat="1" ht="14.25">
      <c r="A23" s="236"/>
      <c r="B23" s="357" t="s">
        <v>541</v>
      </c>
      <c r="C23" s="357"/>
      <c r="D23" s="357"/>
      <c r="E23" s="357"/>
      <c r="F23" s="382" t="s">
        <v>7</v>
      </c>
      <c r="G23" s="382"/>
      <c r="H23" s="377">
        <f>H22*1.05</f>
        <v>77.174999999999997</v>
      </c>
      <c r="I23" s="378"/>
      <c r="J23"/>
      <c r="K23"/>
      <c r="L23"/>
      <c r="M23"/>
      <c r="N23"/>
      <c r="O23"/>
      <c r="P23"/>
      <c r="Q23"/>
      <c r="R23"/>
      <c r="S23"/>
      <c r="T23"/>
      <c r="U23"/>
    </row>
    <row r="24" spans="1:21" s="9" customFormat="1" ht="14.25">
      <c r="A24" s="236" t="s">
        <v>72</v>
      </c>
      <c r="B24" s="459" t="s">
        <v>259</v>
      </c>
      <c r="C24" s="459"/>
      <c r="D24" s="459"/>
      <c r="E24" s="459"/>
      <c r="F24" s="403" t="s">
        <v>7</v>
      </c>
      <c r="G24" s="403"/>
      <c r="H24" s="275">
        <f>H22*2</f>
        <v>147</v>
      </c>
      <c r="I24" s="276"/>
      <c r="J24"/>
      <c r="K24"/>
      <c r="L24"/>
      <c r="M24"/>
      <c r="N24"/>
      <c r="O24"/>
      <c r="P24"/>
      <c r="Q24"/>
      <c r="R24"/>
      <c r="S24"/>
      <c r="T24"/>
      <c r="U24"/>
    </row>
    <row r="25" spans="1:21" s="5" customFormat="1" ht="14.25">
      <c r="A25" s="236"/>
      <c r="B25" s="387" t="s">
        <v>260</v>
      </c>
      <c r="C25" s="387"/>
      <c r="D25" s="387"/>
      <c r="E25" s="387"/>
      <c r="F25" s="403" t="s">
        <v>7</v>
      </c>
      <c r="G25" s="403"/>
      <c r="H25" s="365">
        <f>H24*1.075*2</f>
        <v>316.05</v>
      </c>
      <c r="I25" s="366"/>
      <c r="J25"/>
      <c r="K25"/>
      <c r="L25"/>
      <c r="M25"/>
      <c r="N25"/>
      <c r="O25"/>
      <c r="P25"/>
      <c r="Q25"/>
      <c r="R25"/>
      <c r="S25"/>
      <c r="T25"/>
      <c r="U25"/>
    </row>
    <row r="26" spans="1:21" s="5" customFormat="1" ht="14.25">
      <c r="A26" s="236"/>
      <c r="B26" s="405" t="s">
        <v>249</v>
      </c>
      <c r="C26" s="405"/>
      <c r="D26" s="405"/>
      <c r="E26" s="405"/>
      <c r="F26" s="295" t="s">
        <v>16</v>
      </c>
      <c r="G26" s="295"/>
      <c r="H26" s="280">
        <f>H24*29*1.05*2</f>
        <v>8952.3000000000011</v>
      </c>
      <c r="I26" s="281"/>
      <c r="J26"/>
      <c r="K26"/>
      <c r="L26"/>
      <c r="M26"/>
      <c r="N26"/>
      <c r="O26"/>
      <c r="P26"/>
      <c r="Q26"/>
      <c r="R26"/>
      <c r="S26"/>
      <c r="T26"/>
      <c r="U26"/>
    </row>
    <row r="27" spans="1:21" s="5" customFormat="1" ht="14.25">
      <c r="A27" s="236"/>
      <c r="B27" s="405" t="s">
        <v>250</v>
      </c>
      <c r="C27" s="405"/>
      <c r="D27" s="405"/>
      <c r="E27" s="405"/>
      <c r="F27" s="295" t="s">
        <v>16</v>
      </c>
      <c r="G27" s="295"/>
      <c r="H27" s="280">
        <f>H24*13*1.05*2</f>
        <v>4013.1000000000004</v>
      </c>
      <c r="I27" s="281"/>
      <c r="J27"/>
      <c r="K27"/>
      <c r="L27"/>
      <c r="M27"/>
      <c r="N27"/>
      <c r="O27"/>
      <c r="P27"/>
      <c r="Q27"/>
      <c r="R27"/>
      <c r="S27"/>
      <c r="T27"/>
      <c r="U27"/>
    </row>
    <row r="28" spans="1:21" s="5" customFormat="1" ht="14.25">
      <c r="A28" s="236" t="s">
        <v>73</v>
      </c>
      <c r="B28" s="392" t="s">
        <v>261</v>
      </c>
      <c r="C28" s="392"/>
      <c r="D28" s="392"/>
      <c r="E28" s="392"/>
      <c r="F28" s="403" t="s">
        <v>7</v>
      </c>
      <c r="G28" s="403"/>
      <c r="H28" s="367">
        <f>H24</f>
        <v>147</v>
      </c>
      <c r="I28" s="368"/>
      <c r="J28"/>
      <c r="K28"/>
      <c r="L28"/>
      <c r="M28"/>
      <c r="N28"/>
      <c r="O28"/>
      <c r="P28"/>
      <c r="Q28"/>
      <c r="R28"/>
      <c r="S28"/>
      <c r="T28"/>
      <c r="U28"/>
    </row>
    <row r="29" spans="1:21" s="5" customFormat="1" ht="14.25">
      <c r="A29" s="236"/>
      <c r="B29" s="387" t="s">
        <v>262</v>
      </c>
      <c r="C29" s="387"/>
      <c r="D29" s="387"/>
      <c r="E29" s="387"/>
      <c r="F29" s="450" t="s">
        <v>28</v>
      </c>
      <c r="G29" s="450"/>
      <c r="H29" s="367">
        <f>H28*0.15</f>
        <v>22.05</v>
      </c>
      <c r="I29" s="368"/>
      <c r="J29"/>
      <c r="K29"/>
      <c r="L29"/>
      <c r="M29"/>
      <c r="N29"/>
      <c r="O29"/>
      <c r="P29"/>
      <c r="Q29"/>
      <c r="R29"/>
      <c r="S29"/>
      <c r="T29"/>
      <c r="U29"/>
    </row>
    <row r="30" spans="1:21" s="5" customFormat="1" ht="14.25">
      <c r="A30" s="236"/>
      <c r="B30" s="387" t="s">
        <v>263</v>
      </c>
      <c r="C30" s="387"/>
      <c r="D30" s="387"/>
      <c r="E30" s="387"/>
      <c r="F30" s="451" t="s">
        <v>84</v>
      </c>
      <c r="G30" s="451"/>
      <c r="H30" s="367">
        <f>H28*0.77</f>
        <v>113.19</v>
      </c>
      <c r="I30" s="368"/>
      <c r="J30"/>
      <c r="K30"/>
      <c r="L30"/>
      <c r="M30"/>
      <c r="N30"/>
      <c r="O30"/>
      <c r="P30"/>
      <c r="Q30"/>
      <c r="R30"/>
      <c r="S30"/>
      <c r="T30"/>
      <c r="U30"/>
    </row>
    <row r="31" spans="1:21" s="5" customFormat="1" ht="14.25">
      <c r="A31" s="236"/>
      <c r="B31" s="387" t="s">
        <v>252</v>
      </c>
      <c r="C31" s="387"/>
      <c r="D31" s="387"/>
      <c r="E31" s="387"/>
      <c r="F31" s="295" t="s">
        <v>31</v>
      </c>
      <c r="G31" s="295"/>
      <c r="H31" s="365">
        <f>H28*2</f>
        <v>294</v>
      </c>
      <c r="I31" s="366"/>
      <c r="J31"/>
      <c r="K31"/>
      <c r="L31"/>
      <c r="M31"/>
      <c r="N31"/>
      <c r="O31"/>
      <c r="P31"/>
      <c r="Q31"/>
      <c r="R31"/>
      <c r="S31"/>
      <c r="T31"/>
      <c r="U31"/>
    </row>
    <row r="32" spans="1:21" s="9" customFormat="1" ht="14.25">
      <c r="A32" s="233">
        <v>2</v>
      </c>
      <c r="B32" s="461" t="s">
        <v>487</v>
      </c>
      <c r="C32" s="461"/>
      <c r="D32" s="461"/>
      <c r="E32" s="461"/>
      <c r="F32" s="403" t="s">
        <v>7</v>
      </c>
      <c r="G32" s="403"/>
      <c r="H32" s="354">
        <v>27.71</v>
      </c>
      <c r="I32" s="355"/>
      <c r="J32"/>
      <c r="K32"/>
      <c r="L32"/>
      <c r="M32"/>
      <c r="N32"/>
      <c r="O32"/>
      <c r="P32"/>
      <c r="Q32"/>
      <c r="R32"/>
      <c r="S32"/>
      <c r="T32"/>
      <c r="U32"/>
    </row>
    <row r="33" spans="1:63" s="9" customFormat="1" ht="14.25">
      <c r="A33" s="242" t="s">
        <v>71</v>
      </c>
      <c r="B33" s="302" t="s">
        <v>488</v>
      </c>
      <c r="C33" s="302"/>
      <c r="D33" s="302"/>
      <c r="E33" s="302"/>
      <c r="F33" s="295" t="s">
        <v>13</v>
      </c>
      <c r="G33" s="295"/>
      <c r="H33" s="354">
        <f>H32*0.1</f>
        <v>2.7710000000000004</v>
      </c>
      <c r="I33" s="355"/>
      <c r="J33"/>
      <c r="K33"/>
      <c r="L33"/>
      <c r="M33"/>
      <c r="N33"/>
      <c r="O33"/>
      <c r="P33"/>
      <c r="Q33"/>
      <c r="R33"/>
      <c r="S33"/>
      <c r="T33"/>
      <c r="U33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</row>
    <row r="34" spans="1:63" s="10" customFormat="1" ht="14.25">
      <c r="A34" s="236"/>
      <c r="B34" s="387" t="s">
        <v>492</v>
      </c>
      <c r="C34" s="387"/>
      <c r="D34" s="387"/>
      <c r="E34" s="387"/>
      <c r="F34" s="381" t="s">
        <v>13</v>
      </c>
      <c r="G34" s="381"/>
      <c r="H34" s="367">
        <f>H33</f>
        <v>2.7710000000000004</v>
      </c>
      <c r="I34" s="368"/>
      <c r="J34"/>
      <c r="K34"/>
      <c r="L34"/>
      <c r="M34"/>
      <c r="N34"/>
      <c r="O34"/>
      <c r="P34"/>
      <c r="Q34"/>
      <c r="R34"/>
      <c r="S34"/>
      <c r="T34"/>
      <c r="U34"/>
    </row>
    <row r="35" spans="1:63" s="10" customFormat="1" ht="14.25">
      <c r="A35" s="236"/>
      <c r="B35" s="387" t="s">
        <v>493</v>
      </c>
      <c r="C35" s="387"/>
      <c r="D35" s="387"/>
      <c r="E35" s="387"/>
      <c r="F35" s="381" t="s">
        <v>16</v>
      </c>
      <c r="G35" s="381"/>
      <c r="H35" s="365">
        <v>2</v>
      </c>
      <c r="I35" s="366"/>
      <c r="J35"/>
      <c r="K35"/>
      <c r="L35"/>
      <c r="M35"/>
      <c r="N35"/>
      <c r="O35"/>
      <c r="P35"/>
      <c r="Q35"/>
      <c r="R35"/>
      <c r="S35"/>
      <c r="T35"/>
      <c r="U35"/>
    </row>
    <row r="36" spans="1:63" s="10" customFormat="1" ht="14.25">
      <c r="A36" s="236"/>
      <c r="B36" s="389" t="s">
        <v>489</v>
      </c>
      <c r="C36" s="389"/>
      <c r="D36" s="389"/>
      <c r="E36" s="389"/>
      <c r="F36" s="381" t="s">
        <v>31</v>
      </c>
      <c r="G36" s="381"/>
      <c r="H36" s="365">
        <v>27.7</v>
      </c>
      <c r="I36" s="366"/>
      <c r="J36"/>
      <c r="K36"/>
      <c r="L36"/>
      <c r="M36"/>
      <c r="N36"/>
      <c r="O36"/>
      <c r="P36"/>
      <c r="Q36"/>
      <c r="R36"/>
      <c r="S36"/>
      <c r="T36"/>
      <c r="U36"/>
    </row>
    <row r="37" spans="1:63" s="5" customFormat="1" ht="14.25">
      <c r="A37" s="236" t="s">
        <v>265</v>
      </c>
      <c r="B37" s="460" t="s">
        <v>486</v>
      </c>
      <c r="C37" s="460"/>
      <c r="D37" s="460"/>
      <c r="E37" s="460"/>
      <c r="F37" s="452" t="s">
        <v>16</v>
      </c>
      <c r="G37" s="452"/>
      <c r="H37" s="437">
        <f>SUM(H38:H38)</f>
        <v>1</v>
      </c>
      <c r="I37" s="438"/>
      <c r="J37"/>
      <c r="K37"/>
      <c r="L37"/>
      <c r="M37"/>
      <c r="N37"/>
      <c r="O37"/>
      <c r="P37"/>
      <c r="Q37"/>
      <c r="R37"/>
      <c r="S37"/>
      <c r="T37"/>
      <c r="U37"/>
    </row>
    <row r="38" spans="1:63" s="5" customFormat="1" ht="14.25">
      <c r="A38" s="236"/>
      <c r="B38" s="462" t="s">
        <v>491</v>
      </c>
      <c r="C38" s="462"/>
      <c r="D38" s="462"/>
      <c r="E38" s="462"/>
      <c r="F38" s="452" t="s">
        <v>16</v>
      </c>
      <c r="G38" s="452"/>
      <c r="H38" s="437">
        <v>1</v>
      </c>
      <c r="I38" s="438"/>
      <c r="J38"/>
      <c r="K38"/>
      <c r="L38"/>
      <c r="M38"/>
      <c r="N38"/>
      <c r="O38"/>
      <c r="P38"/>
      <c r="Q38"/>
      <c r="R38"/>
      <c r="S38"/>
      <c r="T38"/>
      <c r="U38"/>
    </row>
    <row r="39" spans="1:63" s="5" customFormat="1" ht="14.25">
      <c r="A39" s="236"/>
      <c r="B39" s="387" t="s">
        <v>485</v>
      </c>
      <c r="C39" s="387"/>
      <c r="D39" s="387"/>
      <c r="E39" s="387"/>
      <c r="F39" s="452" t="s">
        <v>100</v>
      </c>
      <c r="G39" s="452"/>
      <c r="H39" s="453">
        <f>SUM(H38:H38)*2.5*2/25</f>
        <v>0.2</v>
      </c>
      <c r="I39" s="454"/>
      <c r="J39"/>
      <c r="K39"/>
      <c r="L39"/>
      <c r="M39"/>
      <c r="N39"/>
      <c r="O39"/>
      <c r="P39"/>
      <c r="Q39"/>
      <c r="R39"/>
      <c r="S39"/>
      <c r="T39"/>
      <c r="U39"/>
    </row>
    <row r="40" spans="1:63" s="10" customFormat="1" ht="14.25">
      <c r="A40" s="236" t="s">
        <v>75</v>
      </c>
      <c r="B40" s="301" t="s">
        <v>490</v>
      </c>
      <c r="C40" s="301"/>
      <c r="D40" s="301"/>
      <c r="E40" s="301"/>
      <c r="F40" s="381" t="s">
        <v>7</v>
      </c>
      <c r="G40" s="381"/>
      <c r="H40" s="367">
        <f>H32*2</f>
        <v>55.42</v>
      </c>
      <c r="I40" s="368"/>
      <c r="J40"/>
      <c r="K40"/>
      <c r="L40"/>
      <c r="M40"/>
      <c r="N40"/>
      <c r="O40"/>
      <c r="P40"/>
      <c r="Q40"/>
      <c r="R40"/>
      <c r="S40"/>
      <c r="T40"/>
      <c r="U40"/>
    </row>
    <row r="41" spans="1:63">
      <c r="A41" s="236"/>
      <c r="B41" s="387" t="s">
        <v>99</v>
      </c>
      <c r="C41" s="387"/>
      <c r="D41" s="387"/>
      <c r="E41" s="387"/>
      <c r="F41" s="381" t="s">
        <v>100</v>
      </c>
      <c r="G41" s="381"/>
      <c r="H41" s="367">
        <f>H40*10.5/30</f>
        <v>19.396999999999998</v>
      </c>
      <c r="I41" s="368"/>
      <c r="J41"/>
      <c r="K41"/>
      <c r="L41"/>
      <c r="M41"/>
      <c r="N41"/>
      <c r="O41"/>
      <c r="P41"/>
      <c r="Q41"/>
      <c r="R41"/>
      <c r="S41"/>
      <c r="T41"/>
      <c r="U41"/>
    </row>
    <row r="42" spans="1:63" s="9" customFormat="1" ht="14.25">
      <c r="A42" s="233">
        <v>3</v>
      </c>
      <c r="B42" s="463" t="s">
        <v>269</v>
      </c>
      <c r="C42" s="463"/>
      <c r="D42" s="463"/>
      <c r="E42" s="463"/>
      <c r="F42" s="383" t="s">
        <v>7</v>
      </c>
      <c r="G42" s="383"/>
      <c r="H42" s="354">
        <v>6.56</v>
      </c>
      <c r="I42" s="355"/>
      <c r="J42"/>
      <c r="K42"/>
      <c r="L42"/>
      <c r="M42"/>
      <c r="N42"/>
      <c r="O42"/>
      <c r="P42"/>
      <c r="Q42"/>
      <c r="R42"/>
      <c r="S42"/>
      <c r="T42"/>
      <c r="U42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</row>
    <row r="43" spans="1:63" s="9" customFormat="1" ht="14.25">
      <c r="A43" s="236"/>
      <c r="B43" s="357" t="s">
        <v>242</v>
      </c>
      <c r="C43" s="357"/>
      <c r="D43" s="357"/>
      <c r="E43" s="357"/>
      <c r="F43" s="451" t="s">
        <v>243</v>
      </c>
      <c r="G43" s="451"/>
      <c r="H43" s="354">
        <f>H46/3*2.2/1000</f>
        <v>9.6213333333333342E-3</v>
      </c>
      <c r="I43" s="355"/>
      <c r="J43"/>
      <c r="K43"/>
      <c r="L43"/>
      <c r="M43"/>
      <c r="N43"/>
      <c r="O43"/>
      <c r="P43"/>
      <c r="Q43"/>
      <c r="R43"/>
      <c r="S43"/>
      <c r="T43"/>
      <c r="U43"/>
    </row>
    <row r="44" spans="1:63" s="9" customFormat="1" ht="14.25">
      <c r="A44" s="236"/>
      <c r="B44" s="357" t="s">
        <v>244</v>
      </c>
      <c r="C44" s="357"/>
      <c r="D44" s="357"/>
      <c r="E44" s="357"/>
      <c r="F44" s="295" t="s">
        <v>245</v>
      </c>
      <c r="G44" s="295"/>
      <c r="H44" s="354">
        <f>ROUND((H45/0.6)/200*1.1,2)</f>
        <v>0.04</v>
      </c>
      <c r="I44" s="355"/>
      <c r="J44"/>
      <c r="K44"/>
      <c r="L44"/>
      <c r="M44"/>
      <c r="N44"/>
      <c r="O44"/>
      <c r="P44"/>
      <c r="Q44"/>
      <c r="R44"/>
      <c r="S44"/>
      <c r="T44"/>
      <c r="U44"/>
    </row>
    <row r="45" spans="1:63" s="5" customFormat="1" ht="14.25">
      <c r="A45" s="236"/>
      <c r="B45" s="357" t="s">
        <v>266</v>
      </c>
      <c r="C45" s="357"/>
      <c r="D45" s="357"/>
      <c r="E45" s="357"/>
      <c r="F45" s="295" t="s">
        <v>31</v>
      </c>
      <c r="G45" s="295"/>
      <c r="H45" s="365">
        <f>H42*0.7</f>
        <v>4.5919999999999996</v>
      </c>
      <c r="I45" s="366"/>
      <c r="J45"/>
      <c r="K45"/>
      <c r="L45"/>
      <c r="M45"/>
      <c r="N45"/>
      <c r="O45"/>
      <c r="P45"/>
      <c r="Q45"/>
      <c r="R45"/>
      <c r="S45"/>
      <c r="T45"/>
      <c r="U45"/>
    </row>
    <row r="46" spans="1:63" s="5" customFormat="1" ht="14.25">
      <c r="A46" s="236"/>
      <c r="B46" s="357" t="s">
        <v>267</v>
      </c>
      <c r="C46" s="357"/>
      <c r="D46" s="357"/>
      <c r="E46" s="357"/>
      <c r="F46" s="295" t="s">
        <v>31</v>
      </c>
      <c r="G46" s="295"/>
      <c r="H46" s="365">
        <f>H42*2</f>
        <v>13.12</v>
      </c>
      <c r="I46" s="366"/>
      <c r="J46"/>
      <c r="K46"/>
      <c r="L46"/>
      <c r="M46"/>
      <c r="N46"/>
      <c r="O46"/>
      <c r="P46"/>
      <c r="Q46"/>
      <c r="R46"/>
      <c r="S46"/>
      <c r="T46"/>
      <c r="U46"/>
    </row>
    <row r="47" spans="1:63" s="9" customFormat="1" ht="14.25">
      <c r="A47" s="236"/>
      <c r="B47" s="357" t="s">
        <v>268</v>
      </c>
      <c r="C47" s="357"/>
      <c r="D47" s="357"/>
      <c r="E47" s="357"/>
      <c r="F47" s="295" t="s">
        <v>31</v>
      </c>
      <c r="G47" s="295"/>
      <c r="H47" s="275">
        <f>H45</f>
        <v>4.5919999999999996</v>
      </c>
      <c r="I47" s="276"/>
      <c r="J47"/>
      <c r="K47"/>
      <c r="L47"/>
      <c r="M47"/>
      <c r="N47"/>
      <c r="O47"/>
      <c r="P47"/>
      <c r="Q47"/>
      <c r="R47"/>
      <c r="S47"/>
      <c r="T47"/>
      <c r="U47"/>
    </row>
    <row r="48" spans="1:63" s="9" customFormat="1" ht="14.25">
      <c r="A48" s="236"/>
      <c r="B48" s="407" t="s">
        <v>247</v>
      </c>
      <c r="C48" s="407"/>
      <c r="D48" s="407"/>
      <c r="E48" s="407"/>
      <c r="F48" s="383" t="s">
        <v>7</v>
      </c>
      <c r="G48" s="383"/>
      <c r="H48" s="354">
        <f>H42*1.075</f>
        <v>7.0519999999999996</v>
      </c>
      <c r="I48" s="355"/>
      <c r="J48"/>
      <c r="K48"/>
      <c r="L48"/>
      <c r="M48"/>
      <c r="N48"/>
      <c r="O48"/>
      <c r="P48"/>
      <c r="Q48"/>
      <c r="R48"/>
      <c r="S48"/>
      <c r="T48"/>
      <c r="U48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</row>
    <row r="49" spans="1:63" s="9" customFormat="1" ht="14.25">
      <c r="A49" s="236"/>
      <c r="B49" s="407" t="s">
        <v>248</v>
      </c>
      <c r="C49" s="407"/>
      <c r="D49" s="407"/>
      <c r="E49" s="407"/>
      <c r="F49" s="383" t="s">
        <v>7</v>
      </c>
      <c r="G49" s="383"/>
      <c r="H49" s="354">
        <f>H48</f>
        <v>7.0519999999999996</v>
      </c>
      <c r="I49" s="355"/>
      <c r="J49"/>
      <c r="K49"/>
      <c r="L49"/>
      <c r="M49"/>
      <c r="N49"/>
      <c r="O49"/>
      <c r="P49"/>
      <c r="Q49"/>
      <c r="R49"/>
      <c r="S49"/>
      <c r="T49"/>
      <c r="U49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</row>
    <row r="50" spans="1:63" s="9" customFormat="1" ht="14.25">
      <c r="A50" s="236"/>
      <c r="B50" s="405" t="s">
        <v>249</v>
      </c>
      <c r="C50" s="405"/>
      <c r="D50" s="405"/>
      <c r="E50" s="405"/>
      <c r="F50" s="295" t="s">
        <v>16</v>
      </c>
      <c r="G50" s="295"/>
      <c r="H50" s="280">
        <f>H42*15*1.05</f>
        <v>103.32</v>
      </c>
      <c r="I50" s="281"/>
      <c r="J50"/>
      <c r="K50"/>
      <c r="L50"/>
      <c r="M50"/>
      <c r="N50"/>
      <c r="O50"/>
      <c r="P50"/>
      <c r="Q50"/>
      <c r="R50"/>
      <c r="S50"/>
      <c r="T50"/>
      <c r="U50"/>
    </row>
    <row r="51" spans="1:63" s="9" customFormat="1" ht="14.25">
      <c r="A51" s="236"/>
      <c r="B51" s="405" t="s">
        <v>250</v>
      </c>
      <c r="C51" s="405"/>
      <c r="D51" s="405"/>
      <c r="E51" s="405"/>
      <c r="F51" s="295" t="s">
        <v>16</v>
      </c>
      <c r="G51" s="295"/>
      <c r="H51" s="280">
        <f>H42*7*1.05</f>
        <v>48.215999999999994</v>
      </c>
      <c r="I51" s="281"/>
      <c r="J51"/>
      <c r="K51"/>
      <c r="L51"/>
      <c r="M51"/>
      <c r="N51"/>
      <c r="O51"/>
      <c r="P51"/>
      <c r="Q51"/>
      <c r="R51"/>
      <c r="S51"/>
      <c r="T51"/>
      <c r="U51"/>
    </row>
    <row r="52" spans="1:63" s="5" customFormat="1" ht="14.25">
      <c r="A52" s="236"/>
      <c r="B52" s="387" t="s">
        <v>251</v>
      </c>
      <c r="C52" s="387"/>
      <c r="D52" s="387"/>
      <c r="E52" s="387"/>
      <c r="F52" s="450" t="s">
        <v>28</v>
      </c>
      <c r="G52" s="450"/>
      <c r="H52" s="354">
        <f>H42*0.15</f>
        <v>0.98399999999999987</v>
      </c>
      <c r="I52" s="355"/>
      <c r="J52"/>
      <c r="K52"/>
      <c r="L52"/>
      <c r="M52"/>
      <c r="N52"/>
      <c r="O52"/>
      <c r="P52"/>
      <c r="Q52"/>
      <c r="R52"/>
      <c r="S52"/>
      <c r="T52"/>
      <c r="U52"/>
    </row>
    <row r="53" spans="1:63" s="5" customFormat="1" ht="14.25">
      <c r="A53" s="236"/>
      <c r="B53" s="387" t="s">
        <v>252</v>
      </c>
      <c r="C53" s="387"/>
      <c r="D53" s="387"/>
      <c r="E53" s="387"/>
      <c r="F53" s="295" t="s">
        <v>31</v>
      </c>
      <c r="G53" s="295"/>
      <c r="H53" s="365">
        <f>H42*1.2*1.05</f>
        <v>8.2655999999999992</v>
      </c>
      <c r="I53" s="366"/>
      <c r="J53"/>
      <c r="K53"/>
      <c r="L53"/>
      <c r="M53"/>
      <c r="N53"/>
      <c r="O53"/>
      <c r="P53"/>
      <c r="Q53"/>
      <c r="R53"/>
      <c r="S53"/>
      <c r="T53"/>
      <c r="U53"/>
    </row>
    <row r="54" spans="1:63" s="9" customFormat="1" ht="14.25">
      <c r="A54" s="236"/>
      <c r="B54" s="357" t="s">
        <v>253</v>
      </c>
      <c r="C54" s="357"/>
      <c r="D54" s="357"/>
      <c r="E54" s="357"/>
      <c r="F54" s="451" t="s">
        <v>84</v>
      </c>
      <c r="G54" s="451"/>
      <c r="H54" s="354">
        <f>H42*0.6</f>
        <v>3.9359999999999995</v>
      </c>
      <c r="I54" s="355"/>
      <c r="J54"/>
      <c r="K54"/>
      <c r="L54"/>
      <c r="M54"/>
      <c r="N54"/>
      <c r="O54"/>
      <c r="P54"/>
      <c r="Q54"/>
      <c r="R54"/>
      <c r="S54"/>
      <c r="T54"/>
      <c r="U54"/>
    </row>
    <row r="55" spans="1:63" s="136" customFormat="1">
      <c r="A55" s="233">
        <v>4</v>
      </c>
      <c r="B55" s="302" t="s">
        <v>270</v>
      </c>
      <c r="C55" s="302"/>
      <c r="D55" s="302"/>
      <c r="E55" s="302"/>
      <c r="F55" s="403" t="s">
        <v>7</v>
      </c>
      <c r="G55" s="403"/>
      <c r="H55" s="354">
        <v>23.87</v>
      </c>
      <c r="I55" s="355"/>
      <c r="J55"/>
      <c r="K55"/>
      <c r="L55"/>
      <c r="M55"/>
      <c r="N55"/>
      <c r="O55"/>
      <c r="P55"/>
      <c r="Q55"/>
      <c r="R55"/>
      <c r="S55"/>
      <c r="T55"/>
      <c r="U55"/>
    </row>
    <row r="56" spans="1:63" s="5" customFormat="1" ht="14.25">
      <c r="A56" s="236"/>
      <c r="B56" s="385" t="s">
        <v>271</v>
      </c>
      <c r="C56" s="385"/>
      <c r="D56" s="385"/>
      <c r="E56" s="385"/>
      <c r="F56" s="295" t="s">
        <v>31</v>
      </c>
      <c r="G56" s="295"/>
      <c r="H56" s="367">
        <f>ROUND(H55*2.9,1)</f>
        <v>69.2</v>
      </c>
      <c r="I56" s="368"/>
      <c r="J56"/>
      <c r="K56"/>
      <c r="L56"/>
      <c r="M56"/>
      <c r="N56"/>
      <c r="O56"/>
      <c r="P56"/>
      <c r="Q56"/>
      <c r="R56"/>
      <c r="S56"/>
      <c r="T56"/>
      <c r="U56"/>
    </row>
    <row r="57" spans="1:63" s="5" customFormat="1" ht="14.25">
      <c r="A57" s="236"/>
      <c r="B57" s="385" t="s">
        <v>272</v>
      </c>
      <c r="C57" s="385"/>
      <c r="D57" s="385"/>
      <c r="E57" s="385"/>
      <c r="F57" s="295" t="s">
        <v>31</v>
      </c>
      <c r="G57" s="295"/>
      <c r="H57" s="367">
        <f>ROUND(SQRT(H55)*4*1.1,1)</f>
        <v>21.5</v>
      </c>
      <c r="I57" s="368"/>
      <c r="J57"/>
      <c r="K57"/>
      <c r="L57"/>
      <c r="M57"/>
      <c r="N57"/>
      <c r="O57"/>
      <c r="P57"/>
      <c r="Q57"/>
      <c r="R57"/>
      <c r="S57"/>
      <c r="T57"/>
      <c r="U57"/>
    </row>
    <row r="58" spans="1:63" s="5" customFormat="1" ht="14.25">
      <c r="A58" s="236"/>
      <c r="B58" s="387" t="s">
        <v>273</v>
      </c>
      <c r="C58" s="387"/>
      <c r="D58" s="387"/>
      <c r="E58" s="387"/>
      <c r="F58" s="295" t="s">
        <v>16</v>
      </c>
      <c r="G58" s="295"/>
      <c r="H58" s="373">
        <f>ROUND(H56/3*1.1,0)</f>
        <v>25</v>
      </c>
      <c r="I58" s="374"/>
      <c r="J58"/>
      <c r="K58"/>
      <c r="L58"/>
      <c r="M58"/>
      <c r="N58"/>
      <c r="O58"/>
      <c r="P58"/>
      <c r="Q58"/>
      <c r="R58"/>
      <c r="S58"/>
      <c r="T58"/>
      <c r="U58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</row>
    <row r="59" spans="1:63" s="5" customFormat="1" ht="14.25">
      <c r="A59" s="236"/>
      <c r="B59" s="387" t="s">
        <v>274</v>
      </c>
      <c r="C59" s="387"/>
      <c r="D59" s="387"/>
      <c r="E59" s="387"/>
      <c r="F59" s="381" t="s">
        <v>16</v>
      </c>
      <c r="G59" s="381"/>
      <c r="H59" s="373">
        <f>ROUND(H55*1.2,0)</f>
        <v>29</v>
      </c>
      <c r="I59" s="374"/>
      <c r="J59"/>
      <c r="K59"/>
      <c r="L59"/>
      <c r="M59"/>
      <c r="N59"/>
      <c r="O59"/>
      <c r="P59"/>
      <c r="Q59"/>
      <c r="R59"/>
      <c r="S59"/>
      <c r="T59"/>
      <c r="U59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</row>
    <row r="60" spans="1:63" s="5" customFormat="1" ht="14.25">
      <c r="A60" s="236"/>
      <c r="B60" s="387" t="s">
        <v>274</v>
      </c>
      <c r="C60" s="387"/>
      <c r="D60" s="387"/>
      <c r="E60" s="387"/>
      <c r="F60" s="381" t="s">
        <v>275</v>
      </c>
      <c r="G60" s="381"/>
      <c r="H60" s="367">
        <f>ROUND(H57*3.5/100,2)</f>
        <v>0.75</v>
      </c>
      <c r="I60" s="368"/>
      <c r="J60"/>
      <c r="K60"/>
      <c r="L60"/>
      <c r="M60"/>
      <c r="N60"/>
      <c r="O60"/>
      <c r="P60"/>
      <c r="Q60"/>
      <c r="R60"/>
      <c r="S60"/>
      <c r="T60"/>
      <c r="U60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</row>
    <row r="61" spans="1:63" s="5" customFormat="1" ht="14.25">
      <c r="A61" s="236"/>
      <c r="B61" s="387" t="s">
        <v>242</v>
      </c>
      <c r="C61" s="387"/>
      <c r="D61" s="387"/>
      <c r="E61" s="387"/>
      <c r="F61" s="295" t="s">
        <v>16</v>
      </c>
      <c r="G61" s="295"/>
      <c r="H61" s="373">
        <f>ROUND(H55*1.9,0)</f>
        <v>45</v>
      </c>
      <c r="I61" s="374"/>
      <c r="J61"/>
      <c r="K61"/>
      <c r="L61"/>
      <c r="M61"/>
      <c r="N61"/>
      <c r="O61"/>
      <c r="P61"/>
      <c r="Q61"/>
      <c r="R61"/>
      <c r="S61"/>
      <c r="T61"/>
      <c r="U61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</row>
    <row r="62" spans="1:63" s="5" customFormat="1" ht="14.25">
      <c r="A62" s="236"/>
      <c r="B62" s="387" t="s">
        <v>276</v>
      </c>
      <c r="C62" s="387"/>
      <c r="D62" s="387"/>
      <c r="E62" s="387"/>
      <c r="F62" s="295" t="s">
        <v>16</v>
      </c>
      <c r="G62" s="295"/>
      <c r="H62" s="373">
        <f>H59</f>
        <v>29</v>
      </c>
      <c r="I62" s="374"/>
      <c r="J62"/>
      <c r="K62"/>
      <c r="L62"/>
      <c r="M62"/>
      <c r="N62"/>
      <c r="O62"/>
      <c r="P62"/>
      <c r="Q62"/>
      <c r="R62"/>
      <c r="S62"/>
      <c r="T62"/>
      <c r="U62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</row>
    <row r="63" spans="1:63" s="5" customFormat="1" ht="14.25">
      <c r="A63" s="236"/>
      <c r="B63" s="387" t="s">
        <v>277</v>
      </c>
      <c r="C63" s="387"/>
      <c r="D63" s="387"/>
      <c r="E63" s="387"/>
      <c r="F63" s="295" t="s">
        <v>16</v>
      </c>
      <c r="G63" s="295"/>
      <c r="H63" s="373">
        <f>H62</f>
        <v>29</v>
      </c>
      <c r="I63" s="374"/>
      <c r="J63"/>
      <c r="K63"/>
      <c r="L63"/>
      <c r="M63"/>
      <c r="N63"/>
      <c r="O63"/>
      <c r="P63"/>
      <c r="Q63"/>
      <c r="R63"/>
      <c r="S63"/>
      <c r="T63"/>
      <c r="U63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</row>
    <row r="64" spans="1:63" s="5" customFormat="1" ht="14.25">
      <c r="A64" s="236"/>
      <c r="B64" s="387" t="s">
        <v>260</v>
      </c>
      <c r="C64" s="387"/>
      <c r="D64" s="387"/>
      <c r="E64" s="387"/>
      <c r="F64" s="403" t="s">
        <v>7</v>
      </c>
      <c r="G64" s="403"/>
      <c r="H64" s="367">
        <f>ROUND(H55*1.075*2,2)</f>
        <v>51.32</v>
      </c>
      <c r="I64" s="368"/>
      <c r="J64"/>
      <c r="K64"/>
      <c r="L64"/>
      <c r="M64"/>
      <c r="N64"/>
      <c r="O64"/>
      <c r="P64"/>
      <c r="Q64"/>
      <c r="R64"/>
      <c r="S64"/>
      <c r="T64"/>
      <c r="U64"/>
    </row>
    <row r="65" spans="1:61" s="9" customFormat="1" ht="14.25">
      <c r="A65" s="236"/>
      <c r="B65" s="405" t="s">
        <v>249</v>
      </c>
      <c r="C65" s="405"/>
      <c r="D65" s="405"/>
      <c r="E65" s="405"/>
      <c r="F65" s="295" t="s">
        <v>16</v>
      </c>
      <c r="G65" s="295"/>
      <c r="H65" s="280">
        <f>H55*15*1.05</f>
        <v>375.95250000000004</v>
      </c>
      <c r="I65" s="281"/>
      <c r="J65"/>
      <c r="K65"/>
      <c r="L65"/>
      <c r="M65"/>
      <c r="N65"/>
      <c r="O65"/>
      <c r="P65"/>
      <c r="Q65"/>
      <c r="R65"/>
      <c r="S65"/>
      <c r="T65"/>
      <c r="U65"/>
    </row>
    <row r="66" spans="1:61" s="5" customFormat="1" ht="14.25">
      <c r="A66" s="236"/>
      <c r="B66" s="405" t="s">
        <v>250</v>
      </c>
      <c r="C66" s="405"/>
      <c r="D66" s="405"/>
      <c r="E66" s="405"/>
      <c r="F66" s="295" t="s">
        <v>16</v>
      </c>
      <c r="G66" s="295"/>
      <c r="H66" s="373">
        <f>ROUND(H55*30,0)</f>
        <v>716</v>
      </c>
      <c r="I66" s="374"/>
      <c r="J66"/>
      <c r="K66"/>
      <c r="L66"/>
      <c r="M66"/>
      <c r="N66"/>
      <c r="O66"/>
      <c r="P66"/>
      <c r="Q66"/>
      <c r="R66"/>
      <c r="S66"/>
      <c r="T66"/>
      <c r="U66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</row>
    <row r="67" spans="1:61" s="5" customFormat="1" ht="14.25">
      <c r="A67" s="236"/>
      <c r="B67" s="387" t="s">
        <v>278</v>
      </c>
      <c r="C67" s="387"/>
      <c r="D67" s="387"/>
      <c r="E67" s="387"/>
      <c r="F67" s="450" t="s">
        <v>28</v>
      </c>
      <c r="G67" s="450"/>
      <c r="H67" s="367">
        <f>H55*0.15*2</f>
        <v>7.1610000000000005</v>
      </c>
      <c r="I67" s="368"/>
      <c r="J67"/>
      <c r="K67"/>
      <c r="L67"/>
      <c r="M67"/>
      <c r="N67"/>
      <c r="O67"/>
      <c r="P67"/>
      <c r="Q67"/>
      <c r="R67"/>
      <c r="S67"/>
      <c r="T67"/>
      <c r="U67"/>
    </row>
    <row r="68" spans="1:61" s="5" customFormat="1" ht="14.25">
      <c r="A68" s="236"/>
      <c r="B68" s="387" t="s">
        <v>252</v>
      </c>
      <c r="C68" s="387"/>
      <c r="D68" s="387"/>
      <c r="E68" s="387"/>
      <c r="F68" s="295" t="s">
        <v>31</v>
      </c>
      <c r="G68" s="295"/>
      <c r="H68" s="367">
        <f>ROUND(H55*2.4,1)</f>
        <v>57.3</v>
      </c>
      <c r="I68" s="368"/>
      <c r="J68"/>
      <c r="K68"/>
      <c r="L68"/>
      <c r="M68"/>
      <c r="N68"/>
      <c r="O68"/>
      <c r="P68"/>
      <c r="Q68"/>
      <c r="R68"/>
      <c r="S68"/>
      <c r="T68"/>
      <c r="U68"/>
    </row>
    <row r="69" spans="1:61" s="5" customFormat="1" ht="14.25">
      <c r="A69" s="236"/>
      <c r="B69" s="387" t="s">
        <v>279</v>
      </c>
      <c r="C69" s="387"/>
      <c r="D69" s="387"/>
      <c r="E69" s="387"/>
      <c r="F69" s="404" t="s">
        <v>84</v>
      </c>
      <c r="G69" s="404"/>
      <c r="H69" s="367">
        <f>ROUND(H55*0.77*2,1)</f>
        <v>36.799999999999997</v>
      </c>
      <c r="I69" s="368"/>
      <c r="J69"/>
      <c r="K69"/>
      <c r="L69"/>
      <c r="M69"/>
      <c r="N69"/>
      <c r="O69"/>
      <c r="P69"/>
      <c r="Q69"/>
      <c r="R69"/>
      <c r="S69"/>
      <c r="T69"/>
      <c r="U69"/>
    </row>
    <row r="70" spans="1:61" s="188" customFormat="1" ht="28.5" customHeight="1">
      <c r="A70" s="251">
        <v>5</v>
      </c>
      <c r="B70" s="465" t="s">
        <v>281</v>
      </c>
      <c r="C70" s="465"/>
      <c r="D70" s="465"/>
      <c r="E70" s="465"/>
      <c r="F70" s="403" t="s">
        <v>7</v>
      </c>
      <c r="G70" s="403"/>
      <c r="H70" s="455">
        <v>15.6</v>
      </c>
      <c r="I70" s="456"/>
      <c r="J70"/>
      <c r="K70"/>
      <c r="L70"/>
      <c r="M70"/>
      <c r="N70"/>
      <c r="O70"/>
      <c r="P70"/>
      <c r="Q70"/>
      <c r="R70"/>
      <c r="S70"/>
      <c r="T70"/>
      <c r="U70"/>
    </row>
    <row r="71" spans="1:61" s="188" customFormat="1" ht="27" customHeight="1">
      <c r="A71" s="251">
        <v>6</v>
      </c>
      <c r="B71" s="465" t="s">
        <v>282</v>
      </c>
      <c r="C71" s="465"/>
      <c r="D71" s="465"/>
      <c r="E71" s="465"/>
      <c r="F71" s="403" t="s">
        <v>7</v>
      </c>
      <c r="G71" s="403"/>
      <c r="H71" s="455">
        <f>5.08*2+3.1</f>
        <v>13.26</v>
      </c>
      <c r="I71" s="456"/>
      <c r="J71"/>
      <c r="K71"/>
      <c r="L71"/>
      <c r="M71"/>
      <c r="N71"/>
      <c r="O71"/>
      <c r="P71"/>
      <c r="Q71"/>
      <c r="R71"/>
      <c r="S71"/>
      <c r="T71"/>
      <c r="U71"/>
    </row>
    <row r="72" spans="1:61" s="23" customFormat="1">
      <c r="A72" s="251">
        <v>7</v>
      </c>
      <c r="B72" s="302" t="s">
        <v>183</v>
      </c>
      <c r="C72" s="302"/>
      <c r="D72" s="302"/>
      <c r="E72" s="302"/>
      <c r="F72" s="295" t="s">
        <v>27</v>
      </c>
      <c r="G72" s="295"/>
      <c r="H72" s="369">
        <f>89.8/1000/3</f>
        <v>2.9933333333333329E-2</v>
      </c>
      <c r="I72" s="370"/>
      <c r="J72"/>
      <c r="K72"/>
      <c r="L72"/>
      <c r="M72"/>
      <c r="N72"/>
      <c r="O72"/>
      <c r="P72"/>
      <c r="Q72"/>
      <c r="R72"/>
      <c r="S72"/>
      <c r="T72"/>
      <c r="U72"/>
    </row>
    <row r="73" spans="1:61" s="23" customFormat="1">
      <c r="A73" s="236"/>
      <c r="B73" s="464" t="s">
        <v>156</v>
      </c>
      <c r="C73" s="464"/>
      <c r="D73" s="464"/>
      <c r="E73" s="464"/>
      <c r="F73" s="295" t="s">
        <v>27</v>
      </c>
      <c r="G73" s="295"/>
      <c r="H73" s="457">
        <f>H72*1.1</f>
        <v>3.2926666666666667E-2</v>
      </c>
      <c r="I73" s="458"/>
      <c r="J73"/>
      <c r="K73"/>
      <c r="L73"/>
      <c r="M73"/>
      <c r="N73"/>
      <c r="O73"/>
      <c r="P73"/>
      <c r="Q73"/>
      <c r="R73"/>
      <c r="S73"/>
      <c r="T73"/>
      <c r="U73"/>
    </row>
    <row r="74" spans="1:61" s="23" customFormat="1">
      <c r="A74" s="236"/>
      <c r="B74" s="387" t="s">
        <v>184</v>
      </c>
      <c r="C74" s="387"/>
      <c r="D74" s="387"/>
      <c r="E74" s="387"/>
      <c r="F74" s="381" t="s">
        <v>26</v>
      </c>
      <c r="G74" s="381"/>
      <c r="H74" s="367">
        <f>ROUND(H72*31,1)</f>
        <v>0.9</v>
      </c>
      <c r="I74" s="368"/>
      <c r="J74"/>
      <c r="K74"/>
      <c r="L74"/>
      <c r="M74"/>
      <c r="N74"/>
      <c r="O74"/>
      <c r="P74"/>
      <c r="Q74"/>
      <c r="R74"/>
      <c r="S74"/>
      <c r="T74"/>
      <c r="U74"/>
    </row>
    <row r="75" spans="1:61" s="23" customFormat="1">
      <c r="A75" s="236"/>
      <c r="B75" s="387" t="s">
        <v>185</v>
      </c>
      <c r="C75" s="387"/>
      <c r="D75" s="387"/>
      <c r="E75" s="387"/>
      <c r="F75" s="381" t="s">
        <v>26</v>
      </c>
      <c r="G75" s="381"/>
      <c r="H75" s="367">
        <f>H76/2</f>
        <v>0.5</v>
      </c>
      <c r="I75" s="368"/>
      <c r="J75"/>
      <c r="K75"/>
      <c r="L75"/>
      <c r="M75"/>
      <c r="N75"/>
      <c r="O75"/>
      <c r="P75"/>
      <c r="Q75"/>
      <c r="R75"/>
      <c r="S75"/>
      <c r="T75"/>
      <c r="U75"/>
    </row>
    <row r="76" spans="1:61" s="23" customFormat="1">
      <c r="A76" s="236"/>
      <c r="B76" s="387" t="s">
        <v>186</v>
      </c>
      <c r="C76" s="387"/>
      <c r="D76" s="387"/>
      <c r="E76" s="387"/>
      <c r="F76" s="381" t="s">
        <v>28</v>
      </c>
      <c r="G76" s="381"/>
      <c r="H76" s="367">
        <f>ROUND(H72*0.7*50,1)</f>
        <v>1</v>
      </c>
      <c r="I76" s="368"/>
      <c r="J76"/>
      <c r="K76"/>
      <c r="L76"/>
      <c r="M76"/>
      <c r="N76"/>
      <c r="O76"/>
      <c r="P76"/>
      <c r="Q76"/>
      <c r="R76"/>
      <c r="S76"/>
      <c r="T76"/>
      <c r="U76"/>
    </row>
    <row r="77" spans="1:61" s="23" customFormat="1">
      <c r="A77" s="236"/>
      <c r="B77" s="387" t="s">
        <v>21</v>
      </c>
      <c r="C77" s="387"/>
      <c r="D77" s="387"/>
      <c r="E77" s="387"/>
      <c r="F77" s="381" t="s">
        <v>22</v>
      </c>
      <c r="G77" s="381"/>
      <c r="H77" s="367">
        <f>H72*230/100/4</f>
        <v>1.7211666666666667E-2</v>
      </c>
      <c r="I77" s="368"/>
      <c r="J77"/>
      <c r="K77"/>
      <c r="L77"/>
      <c r="M77"/>
      <c r="N77"/>
      <c r="O77"/>
      <c r="P77"/>
      <c r="Q77"/>
      <c r="R77"/>
      <c r="S77"/>
      <c r="T77"/>
      <c r="U77"/>
    </row>
    <row r="78" spans="1:61" s="10" customFormat="1" ht="14.25">
      <c r="A78" s="236"/>
      <c r="B78" s="387" t="s">
        <v>29</v>
      </c>
      <c r="C78" s="387"/>
      <c r="D78" s="387"/>
      <c r="E78" s="387"/>
      <c r="F78" s="381" t="s">
        <v>17</v>
      </c>
      <c r="G78" s="381"/>
      <c r="H78" s="373">
        <v>1</v>
      </c>
      <c r="I78" s="374"/>
      <c r="J78"/>
      <c r="K78"/>
      <c r="L78"/>
      <c r="M78"/>
      <c r="N78"/>
      <c r="O78"/>
      <c r="P78"/>
      <c r="Q78"/>
      <c r="R78"/>
      <c r="S78"/>
      <c r="T78"/>
      <c r="U78"/>
    </row>
    <row r="79" spans="1:61" s="23" customFormat="1">
      <c r="A79" s="251">
        <v>8</v>
      </c>
      <c r="B79" s="388" t="s">
        <v>188</v>
      </c>
      <c r="C79" s="388"/>
      <c r="D79" s="388"/>
      <c r="E79" s="388"/>
      <c r="F79" s="381" t="s">
        <v>7</v>
      </c>
      <c r="G79" s="381"/>
      <c r="H79" s="367">
        <f>H72*32.5</f>
        <v>0.97283333333333322</v>
      </c>
      <c r="I79" s="368"/>
      <c r="J79"/>
      <c r="K79"/>
      <c r="L79"/>
      <c r="M79"/>
      <c r="N79"/>
      <c r="O79"/>
      <c r="P79"/>
      <c r="Q79"/>
      <c r="R79"/>
      <c r="S79"/>
      <c r="T79"/>
      <c r="U79"/>
    </row>
    <row r="80" spans="1:61" s="23" customFormat="1">
      <c r="A80" s="251"/>
      <c r="B80" s="387" t="s">
        <v>189</v>
      </c>
      <c r="C80" s="387"/>
      <c r="D80" s="387"/>
      <c r="E80" s="387"/>
      <c r="F80" s="381" t="s">
        <v>28</v>
      </c>
      <c r="G80" s="381"/>
      <c r="H80" s="367">
        <f>ROUND(H79*0.25,1)</f>
        <v>0.2</v>
      </c>
      <c r="I80" s="368"/>
      <c r="J80"/>
      <c r="K80"/>
      <c r="L80"/>
      <c r="M80"/>
      <c r="N80"/>
      <c r="O80"/>
      <c r="P80"/>
      <c r="Q80"/>
      <c r="R80"/>
      <c r="S80"/>
      <c r="T80"/>
      <c r="U80"/>
    </row>
    <row r="81" spans="1:31" s="180" customFormat="1">
      <c r="A81" s="251"/>
      <c r="B81" s="405" t="s">
        <v>190</v>
      </c>
      <c r="C81" s="405"/>
      <c r="D81" s="405"/>
      <c r="E81" s="405"/>
      <c r="F81" s="295" t="s">
        <v>7</v>
      </c>
      <c r="G81" s="295"/>
      <c r="H81" s="354">
        <f>H79</f>
        <v>0.97283333333333322</v>
      </c>
      <c r="I81" s="355"/>
      <c r="J81"/>
      <c r="K81"/>
      <c r="L81"/>
      <c r="M81"/>
      <c r="N81"/>
      <c r="O81"/>
      <c r="P81"/>
      <c r="Q81"/>
      <c r="R81"/>
      <c r="S81"/>
      <c r="T81"/>
      <c r="U81"/>
    </row>
    <row r="82" spans="1:31" s="176" customFormat="1">
      <c r="A82" s="251">
        <v>9</v>
      </c>
      <c r="B82" s="388" t="s">
        <v>192</v>
      </c>
      <c r="C82" s="388"/>
      <c r="D82" s="388"/>
      <c r="E82" s="388"/>
      <c r="F82" s="403" t="s">
        <v>7</v>
      </c>
      <c r="G82" s="403"/>
      <c r="H82" s="367">
        <f>1.4*(0.12*2+0.5)+1*(0.1*2+0.5)</f>
        <v>1.736</v>
      </c>
      <c r="I82" s="368"/>
      <c r="J82"/>
      <c r="K82"/>
      <c r="L82"/>
      <c r="M82"/>
      <c r="N82"/>
      <c r="O82"/>
      <c r="P82"/>
      <c r="Q82"/>
      <c r="R82"/>
      <c r="S82"/>
      <c r="T82"/>
      <c r="U82"/>
    </row>
    <row r="83" spans="1:31" s="5" customFormat="1" ht="14.25">
      <c r="A83" s="236"/>
      <c r="B83" s="360" t="s">
        <v>124</v>
      </c>
      <c r="C83" s="360"/>
      <c r="D83" s="360"/>
      <c r="E83" s="360"/>
      <c r="F83" s="403" t="s">
        <v>7</v>
      </c>
      <c r="G83" s="403"/>
      <c r="H83" s="367">
        <f>H82*1.2</f>
        <v>2.0831999999999997</v>
      </c>
      <c r="I83" s="368"/>
      <c r="J83"/>
      <c r="K83"/>
      <c r="L83"/>
      <c r="M83"/>
      <c r="N83"/>
      <c r="O83"/>
      <c r="P83"/>
      <c r="Q83"/>
      <c r="R83"/>
      <c r="S83"/>
      <c r="T83"/>
      <c r="U83"/>
    </row>
    <row r="84" spans="1:31" s="9" customFormat="1" ht="14.25">
      <c r="A84" s="236"/>
      <c r="B84" s="407" t="s">
        <v>125</v>
      </c>
      <c r="C84" s="407"/>
      <c r="D84" s="407"/>
      <c r="E84" s="407"/>
      <c r="F84" s="404" t="s">
        <v>84</v>
      </c>
      <c r="G84" s="404"/>
      <c r="H84" s="354">
        <f>H82*14.5</f>
        <v>25.172000000000001</v>
      </c>
      <c r="I84" s="355"/>
      <c r="J84"/>
      <c r="K84"/>
      <c r="L84"/>
      <c r="M84"/>
      <c r="N84"/>
      <c r="O84"/>
      <c r="P84"/>
      <c r="Q84"/>
      <c r="R84"/>
      <c r="S84"/>
      <c r="T84"/>
      <c r="U84"/>
    </row>
    <row r="85" spans="1:31" s="9" customFormat="1" ht="14.25">
      <c r="A85" s="233">
        <v>10</v>
      </c>
      <c r="B85" s="302" t="s">
        <v>141</v>
      </c>
      <c r="C85" s="302"/>
      <c r="D85" s="302"/>
      <c r="E85" s="302"/>
      <c r="F85" s="295" t="s">
        <v>7</v>
      </c>
      <c r="G85" s="295"/>
      <c r="H85" s="354">
        <v>2.2999999999999998</v>
      </c>
      <c r="I85" s="355"/>
      <c r="J85"/>
      <c r="K85"/>
      <c r="L85"/>
      <c r="M85"/>
      <c r="N85"/>
      <c r="O85"/>
      <c r="P85"/>
      <c r="Q85"/>
      <c r="R85"/>
      <c r="S85"/>
      <c r="T85"/>
      <c r="U85"/>
    </row>
    <row r="86" spans="1:31">
      <c r="A86" s="236"/>
      <c r="B86" s="387" t="s">
        <v>99</v>
      </c>
      <c r="C86" s="387"/>
      <c r="D86" s="387"/>
      <c r="E86" s="387"/>
      <c r="F86" s="381" t="s">
        <v>100</v>
      </c>
      <c r="G86" s="381"/>
      <c r="H86" s="367">
        <f>H85*10.5/30</f>
        <v>0.80499999999999994</v>
      </c>
      <c r="I86" s="368"/>
      <c r="J86"/>
      <c r="K86"/>
      <c r="L86"/>
      <c r="M86"/>
      <c r="N86"/>
      <c r="O86"/>
      <c r="P86"/>
      <c r="Q86"/>
      <c r="R86"/>
      <c r="S86"/>
      <c r="T86"/>
      <c r="U86"/>
    </row>
    <row r="87" spans="1:31" s="10" customFormat="1" ht="15" thickBot="1">
      <c r="A87" s="234">
        <v>11</v>
      </c>
      <c r="B87" s="297" t="s">
        <v>32</v>
      </c>
      <c r="C87" s="297"/>
      <c r="D87" s="297"/>
      <c r="E87" s="297"/>
      <c r="F87" s="296" t="s">
        <v>23</v>
      </c>
      <c r="G87" s="296"/>
      <c r="H87" s="427">
        <v>1</v>
      </c>
      <c r="I87" s="428"/>
      <c r="J87"/>
      <c r="K87"/>
      <c r="L87"/>
      <c r="M87"/>
      <c r="N87"/>
      <c r="O87"/>
      <c r="P87"/>
      <c r="Q87"/>
      <c r="R87"/>
      <c r="S87"/>
      <c r="T87"/>
      <c r="U87"/>
    </row>
    <row r="88" spans="1:31" s="11" customFormat="1" ht="14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s="11" customFormat="1" ht="14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 s="11" customFormat="1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s="11" customFormat="1" ht="14.25">
      <c r="B91" s="1"/>
      <c r="P91"/>
      <c r="Q91"/>
      <c r="R91"/>
      <c r="S91"/>
      <c r="T91"/>
      <c r="U91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 s="11" customFormat="1" ht="14.25">
      <c r="B92" s="55"/>
      <c r="P92"/>
      <c r="Q92"/>
      <c r="R92"/>
      <c r="S92"/>
      <c r="T92"/>
      <c r="U92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 s="11" customFormat="1" ht="14.25">
      <c r="B93" s="102"/>
      <c r="P93" s="10"/>
      <c r="Q93" s="21"/>
      <c r="R93" s="22"/>
      <c r="S93" s="22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 s="11" customFormat="1" ht="14.25">
      <c r="P94" s="10"/>
      <c r="Q94" s="21"/>
      <c r="R94" s="22"/>
      <c r="S94" s="22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>
      <c r="P95" s="14"/>
      <c r="Q95" s="166"/>
      <c r="R95" s="147"/>
      <c r="S95" s="147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31">
      <c r="P96" s="14"/>
      <c r="Q96" s="166"/>
      <c r="R96" s="147"/>
      <c r="S96" s="147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66"/>
      <c r="R97" s="147"/>
      <c r="S97" s="147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66"/>
      <c r="R98" s="147"/>
      <c r="S98" s="147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66"/>
      <c r="R99" s="147"/>
      <c r="S99" s="147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66"/>
      <c r="R100" s="147"/>
      <c r="S100" s="147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66"/>
      <c r="R101" s="147"/>
      <c r="S101" s="147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66"/>
      <c r="R102" s="147"/>
      <c r="S102" s="147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66"/>
      <c r="R103" s="147"/>
      <c r="S103" s="147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66"/>
      <c r="R104" s="147"/>
      <c r="S104" s="147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66"/>
      <c r="R105" s="147"/>
      <c r="S105" s="147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66"/>
      <c r="R106" s="147"/>
      <c r="S106" s="147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66"/>
      <c r="R107" s="147"/>
      <c r="S107" s="147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66"/>
      <c r="R108" s="147"/>
      <c r="S108" s="147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66"/>
      <c r="R109" s="147"/>
      <c r="S109" s="147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66"/>
      <c r="R110" s="147"/>
      <c r="S110" s="147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66"/>
      <c r="R111" s="147"/>
      <c r="S111" s="147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66"/>
      <c r="R112" s="147"/>
      <c r="S112" s="147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66"/>
      <c r="R113" s="147"/>
      <c r="S113" s="147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66"/>
      <c r="R114" s="147"/>
      <c r="S114" s="147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66"/>
      <c r="R115" s="147"/>
      <c r="S115" s="147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66"/>
      <c r="R116" s="147"/>
      <c r="S116" s="147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66"/>
      <c r="R117" s="147"/>
      <c r="S117" s="147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66"/>
      <c r="R118" s="147"/>
      <c r="S118" s="147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66"/>
      <c r="R119" s="147"/>
      <c r="S119" s="147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66"/>
      <c r="R120" s="147"/>
      <c r="S120" s="147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66"/>
      <c r="R121" s="147"/>
      <c r="S121" s="147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66"/>
      <c r="R122" s="147"/>
      <c r="S122" s="147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66"/>
      <c r="R123" s="147"/>
      <c r="S123" s="147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66"/>
      <c r="R124" s="147"/>
      <c r="S124" s="147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66"/>
      <c r="R125" s="147"/>
      <c r="S125" s="147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66"/>
      <c r="R126" s="147"/>
      <c r="S126" s="147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66"/>
      <c r="R127" s="147"/>
      <c r="S127" s="147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66"/>
      <c r="R128" s="147"/>
      <c r="S128" s="147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66"/>
      <c r="R129" s="147"/>
      <c r="S129" s="147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66"/>
      <c r="R130" s="147"/>
      <c r="S130" s="147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66"/>
      <c r="R131" s="147"/>
      <c r="S131" s="147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66"/>
      <c r="R132" s="147"/>
      <c r="S132" s="147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66"/>
      <c r="R133" s="147"/>
      <c r="S133" s="147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66"/>
      <c r="R134" s="147"/>
      <c r="S134" s="147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66"/>
      <c r="R135" s="147"/>
      <c r="S135" s="147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66"/>
      <c r="R136" s="147"/>
      <c r="S136" s="147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66"/>
      <c r="R137" s="147"/>
      <c r="S137" s="147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66"/>
      <c r="R138" s="147"/>
      <c r="S138" s="147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66"/>
      <c r="R139" s="147"/>
      <c r="S139" s="147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66"/>
      <c r="R140" s="147"/>
      <c r="S140" s="147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66"/>
      <c r="R141" s="147"/>
      <c r="S141" s="147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66"/>
      <c r="R142" s="147"/>
      <c r="S142" s="147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66"/>
      <c r="R143" s="147"/>
      <c r="S143" s="147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66"/>
      <c r="R144" s="147"/>
      <c r="S144" s="147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66"/>
      <c r="R145" s="147"/>
      <c r="S145" s="147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66"/>
      <c r="R146" s="147"/>
      <c r="S146" s="147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66"/>
      <c r="R147" s="147"/>
      <c r="S147" s="147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66"/>
      <c r="R148" s="147"/>
      <c r="S148" s="147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66"/>
      <c r="R149" s="147"/>
      <c r="S149" s="147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66"/>
      <c r="R150" s="147"/>
      <c r="S150" s="147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66"/>
      <c r="R151" s="147"/>
      <c r="S151" s="147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66"/>
      <c r="R152" s="147"/>
      <c r="S152" s="147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66"/>
      <c r="R153" s="147"/>
      <c r="S153" s="147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66"/>
      <c r="R154" s="147"/>
      <c r="S154" s="147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66"/>
      <c r="R155" s="147"/>
      <c r="S155" s="147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66"/>
      <c r="R156" s="147"/>
      <c r="S156" s="147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66"/>
      <c r="R157" s="147"/>
      <c r="S157" s="147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66"/>
      <c r="R158" s="147"/>
      <c r="S158" s="147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66"/>
      <c r="R159" s="147"/>
      <c r="S159" s="147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66"/>
      <c r="R160" s="147"/>
      <c r="S160" s="147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66"/>
      <c r="R161" s="147"/>
      <c r="S161" s="147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66"/>
      <c r="R162" s="147"/>
      <c r="S162" s="147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66"/>
      <c r="R163" s="147"/>
      <c r="S163" s="147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66"/>
      <c r="R164" s="147"/>
      <c r="S164" s="147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66"/>
      <c r="R165" s="147"/>
      <c r="S165" s="147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66"/>
      <c r="R166" s="147"/>
      <c r="S166" s="147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66"/>
      <c r="R167" s="147"/>
      <c r="S167" s="147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66"/>
      <c r="R168" s="147"/>
      <c r="S168" s="147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66"/>
      <c r="R169" s="147"/>
      <c r="S169" s="147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66"/>
      <c r="R170" s="147"/>
      <c r="S170" s="147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66"/>
      <c r="R171" s="147"/>
      <c r="S171" s="147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66"/>
      <c r="R172" s="147"/>
      <c r="S172" s="147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66"/>
      <c r="R173" s="147"/>
      <c r="S173" s="147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6:31">
      <c r="P174" s="14"/>
      <c r="Q174" s="166"/>
      <c r="R174" s="147"/>
      <c r="S174" s="147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6:31">
      <c r="P175" s="14"/>
      <c r="Q175" s="166"/>
      <c r="R175" s="147"/>
      <c r="S175" s="147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6:31">
      <c r="P176" s="14"/>
      <c r="Q176" s="166"/>
      <c r="R176" s="147"/>
      <c r="S176" s="147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6:31">
      <c r="P177" s="14"/>
      <c r="Q177" s="166"/>
      <c r="R177" s="147"/>
      <c r="S177" s="147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6:31">
      <c r="P178" s="14"/>
      <c r="Q178" s="166"/>
      <c r="R178" s="147"/>
      <c r="S178" s="147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6:31">
      <c r="P179" s="14"/>
      <c r="Q179" s="166"/>
      <c r="R179" s="147"/>
      <c r="S179" s="147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</sheetData>
  <mergeCells count="231">
    <mergeCell ref="B83:E83"/>
    <mergeCell ref="B84:E84"/>
    <mergeCell ref="B85:E85"/>
    <mergeCell ref="B86:E86"/>
    <mergeCell ref="B87:E87"/>
    <mergeCell ref="B78:E78"/>
    <mergeCell ref="B79:E79"/>
    <mergeCell ref="B80:E80"/>
    <mergeCell ref="B81:E81"/>
    <mergeCell ref="B82:E82"/>
    <mergeCell ref="B73:E73"/>
    <mergeCell ref="B74:E74"/>
    <mergeCell ref="B75:E75"/>
    <mergeCell ref="B76:E76"/>
    <mergeCell ref="B77:E77"/>
    <mergeCell ref="B68:E68"/>
    <mergeCell ref="B69:E69"/>
    <mergeCell ref="B70:E70"/>
    <mergeCell ref="B71:E71"/>
    <mergeCell ref="B72:E72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B53:E53"/>
    <mergeCell ref="B54:E54"/>
    <mergeCell ref="B55:E55"/>
    <mergeCell ref="B56:E56"/>
    <mergeCell ref="B57:E57"/>
    <mergeCell ref="B48:E48"/>
    <mergeCell ref="B49:E49"/>
    <mergeCell ref="B50:E50"/>
    <mergeCell ref="B51:E51"/>
    <mergeCell ref="B52:E5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F76:G76"/>
    <mergeCell ref="H76:I76"/>
    <mergeCell ref="F77:G77"/>
    <mergeCell ref="H77:I77"/>
    <mergeCell ref="F78:G78"/>
    <mergeCell ref="H78:I78"/>
    <mergeCell ref="F73:G73"/>
    <mergeCell ref="H73:I73"/>
    <mergeCell ref="F74:G74"/>
    <mergeCell ref="H74:I74"/>
    <mergeCell ref="F75:G75"/>
    <mergeCell ref="H75:I75"/>
    <mergeCell ref="F87:G87"/>
    <mergeCell ref="H87:I87"/>
    <mergeCell ref="F82:G82"/>
    <mergeCell ref="H82:I82"/>
    <mergeCell ref="F83:G83"/>
    <mergeCell ref="H83:I83"/>
    <mergeCell ref="F84:G84"/>
    <mergeCell ref="H84:I84"/>
    <mergeCell ref="F79:G79"/>
    <mergeCell ref="H79:I79"/>
    <mergeCell ref="F80:G80"/>
    <mergeCell ref="H80:I80"/>
    <mergeCell ref="F81:G81"/>
    <mergeCell ref="H81:I81"/>
    <mergeCell ref="F85:G85"/>
    <mergeCell ref="H85:I85"/>
    <mergeCell ref="F86:G86"/>
    <mergeCell ref="H86:I86"/>
    <mergeCell ref="H71:I71"/>
    <mergeCell ref="F72:G72"/>
    <mergeCell ref="H72:I72"/>
    <mergeCell ref="F67:G67"/>
    <mergeCell ref="H67:I67"/>
    <mergeCell ref="F68:G68"/>
    <mergeCell ref="H68:I68"/>
    <mergeCell ref="F69:G69"/>
    <mergeCell ref="H69:I69"/>
    <mergeCell ref="F70:G70"/>
    <mergeCell ref="H70:I70"/>
    <mergeCell ref="F71:G71"/>
    <mergeCell ref="F64:G64"/>
    <mergeCell ref="H64:I64"/>
    <mergeCell ref="F65:G65"/>
    <mergeCell ref="H65:I65"/>
    <mergeCell ref="F66:G66"/>
    <mergeCell ref="H66:I66"/>
    <mergeCell ref="F61:G61"/>
    <mergeCell ref="H61:I61"/>
    <mergeCell ref="F62:G62"/>
    <mergeCell ref="H62:I62"/>
    <mergeCell ref="F63:G63"/>
    <mergeCell ref="H63:I63"/>
    <mergeCell ref="F58:G58"/>
    <mergeCell ref="H58:I58"/>
    <mergeCell ref="F59:G59"/>
    <mergeCell ref="H59:I59"/>
    <mergeCell ref="F60:G60"/>
    <mergeCell ref="H60:I60"/>
    <mergeCell ref="F55:G55"/>
    <mergeCell ref="H55:I55"/>
    <mergeCell ref="F56:G56"/>
    <mergeCell ref="H56:I56"/>
    <mergeCell ref="F57:G57"/>
    <mergeCell ref="H57:I57"/>
    <mergeCell ref="F52:G52"/>
    <mergeCell ref="H52:I52"/>
    <mergeCell ref="F53:G53"/>
    <mergeCell ref="H53:I53"/>
    <mergeCell ref="F54:G54"/>
    <mergeCell ref="H54:I54"/>
    <mergeCell ref="F49:G49"/>
    <mergeCell ref="H49:I49"/>
    <mergeCell ref="F50:G50"/>
    <mergeCell ref="H50:I50"/>
    <mergeCell ref="F51:G51"/>
    <mergeCell ref="H51:I51"/>
    <mergeCell ref="F46:G46"/>
    <mergeCell ref="H46:I46"/>
    <mergeCell ref="F47:G47"/>
    <mergeCell ref="H47:I47"/>
    <mergeCell ref="F48:G48"/>
    <mergeCell ref="H48:I48"/>
    <mergeCell ref="F43:G43"/>
    <mergeCell ref="H43:I43"/>
    <mergeCell ref="F44:G44"/>
    <mergeCell ref="H44:I44"/>
    <mergeCell ref="F45:G45"/>
    <mergeCell ref="H45:I45"/>
    <mergeCell ref="F40:G40"/>
    <mergeCell ref="H40:I40"/>
    <mergeCell ref="F41:G41"/>
    <mergeCell ref="H41:I41"/>
    <mergeCell ref="F42:G42"/>
    <mergeCell ref="H42:I42"/>
    <mergeCell ref="F37:G37"/>
    <mergeCell ref="H37:I37"/>
    <mergeCell ref="F38:G38"/>
    <mergeCell ref="H38:I38"/>
    <mergeCell ref="F39:G39"/>
    <mergeCell ref="H39:I39"/>
    <mergeCell ref="F34:G34"/>
    <mergeCell ref="H34:I34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8:G18"/>
    <mergeCell ref="H18:I18"/>
    <mergeCell ref="F13:G13"/>
    <mergeCell ref="H13:I13"/>
    <mergeCell ref="F14:G14"/>
    <mergeCell ref="H14:I14"/>
    <mergeCell ref="F15:G15"/>
    <mergeCell ref="H15:I15"/>
    <mergeCell ref="F22:G22"/>
    <mergeCell ref="H22:I22"/>
    <mergeCell ref="A2:I2"/>
    <mergeCell ref="A1:I1"/>
    <mergeCell ref="H8:I12"/>
    <mergeCell ref="F8:G12"/>
    <mergeCell ref="B8:E12"/>
    <mergeCell ref="A8:A12"/>
    <mergeCell ref="F16:G16"/>
    <mergeCell ref="H16:I16"/>
    <mergeCell ref="F17:G17"/>
    <mergeCell ref="H17:I17"/>
    <mergeCell ref="B13:E13"/>
    <mergeCell ref="B14:E14"/>
    <mergeCell ref="B15:E15"/>
    <mergeCell ref="B16:E16"/>
    <mergeCell ref="B17:E17"/>
  </mergeCells>
  <conditionalFormatting sqref="C94">
    <cfRule type="cellIs" dxfId="61" priority="75" stopIfTrue="1" operator="equal">
      <formula>0</formula>
    </cfRule>
    <cfRule type="expression" dxfId="60" priority="76" stopIfTrue="1">
      <formula>#DIV/0!</formula>
    </cfRule>
  </conditionalFormatting>
  <conditionalFormatting sqref="F27">
    <cfRule type="cellIs" dxfId="59" priority="41" stopIfTrue="1" operator="equal">
      <formula>0</formula>
    </cfRule>
    <cfRule type="expression" dxfId="58" priority="42" stopIfTrue="1">
      <formula>#DIV/0!</formula>
    </cfRule>
  </conditionalFormatting>
  <conditionalFormatting sqref="F71">
    <cfRule type="cellIs" dxfId="57" priority="1" stopIfTrue="1" operator="equal">
      <formula>0</formula>
    </cfRule>
    <cfRule type="expression" dxfId="56" priority="2" stopIfTrue="1">
      <formula>#DIV/0!</formula>
    </cfRule>
  </conditionalFormatting>
  <conditionalFormatting sqref="F14:F16 F22:F25 F18:F19 F28:F31">
    <cfRule type="cellIs" dxfId="55" priority="51" stopIfTrue="1" operator="equal">
      <formula>0</formula>
    </cfRule>
    <cfRule type="expression" dxfId="54" priority="52" stopIfTrue="1">
      <formula>#DIV/0!</formula>
    </cfRule>
  </conditionalFormatting>
  <conditionalFormatting sqref="F21">
    <cfRule type="cellIs" dxfId="53" priority="49" stopIfTrue="1" operator="equal">
      <formula>0</formula>
    </cfRule>
    <cfRule type="expression" dxfId="52" priority="50" stopIfTrue="1">
      <formula>#DIV/0!</formula>
    </cfRule>
  </conditionalFormatting>
  <conditionalFormatting sqref="F20">
    <cfRule type="cellIs" dxfId="51" priority="47" stopIfTrue="1" operator="equal">
      <formula>0</formula>
    </cfRule>
    <cfRule type="expression" dxfId="50" priority="48" stopIfTrue="1">
      <formula>#DIV/0!</formula>
    </cfRule>
  </conditionalFormatting>
  <conditionalFormatting sqref="F17">
    <cfRule type="cellIs" dxfId="49" priority="45" stopIfTrue="1" operator="equal">
      <formula>0</formula>
    </cfRule>
    <cfRule type="expression" dxfId="48" priority="46" stopIfTrue="1">
      <formula>#DIV/0!</formula>
    </cfRule>
  </conditionalFormatting>
  <conditionalFormatting sqref="F26">
    <cfRule type="cellIs" dxfId="47" priority="43" stopIfTrue="1" operator="equal">
      <formula>0</formula>
    </cfRule>
    <cfRule type="expression" dxfId="46" priority="44" stopIfTrue="1">
      <formula>#DIV/0!</formula>
    </cfRule>
  </conditionalFormatting>
  <conditionalFormatting sqref="F32">
    <cfRule type="cellIs" dxfId="45" priority="37" stopIfTrue="1" operator="equal">
      <formula>0</formula>
    </cfRule>
    <cfRule type="expression" dxfId="44" priority="38" stopIfTrue="1">
      <formula>#DIV/0!</formula>
    </cfRule>
  </conditionalFormatting>
  <conditionalFormatting sqref="F54:F64 F66:F69">
    <cfRule type="cellIs" dxfId="43" priority="25" stopIfTrue="1" operator="equal">
      <formula>0</formula>
    </cfRule>
    <cfRule type="expression" dxfId="42" priority="26" stopIfTrue="1">
      <formula>#DIV/0!</formula>
    </cfRule>
  </conditionalFormatting>
  <conditionalFormatting sqref="F51">
    <cfRule type="cellIs" dxfId="41" priority="21" stopIfTrue="1" operator="equal">
      <formula>0</formula>
    </cfRule>
    <cfRule type="expression" dxfId="40" priority="22" stopIfTrue="1">
      <formula>#DIV/0!</formula>
    </cfRule>
  </conditionalFormatting>
  <conditionalFormatting sqref="F50">
    <cfRule type="cellIs" dxfId="39" priority="23" stopIfTrue="1" operator="equal">
      <formula>0</formula>
    </cfRule>
    <cfRule type="expression" dxfId="38" priority="24" stopIfTrue="1">
      <formula>#DIV/0!</formula>
    </cfRule>
  </conditionalFormatting>
  <conditionalFormatting sqref="F45">
    <cfRule type="cellIs" dxfId="37" priority="19" stopIfTrue="1" operator="equal">
      <formula>0</formula>
    </cfRule>
    <cfRule type="expression" dxfId="36" priority="20" stopIfTrue="1">
      <formula>#DIV/0!</formula>
    </cfRule>
  </conditionalFormatting>
  <conditionalFormatting sqref="F46">
    <cfRule type="cellIs" dxfId="35" priority="17" stopIfTrue="1" operator="equal">
      <formula>0</formula>
    </cfRule>
    <cfRule type="expression" dxfId="34" priority="18" stopIfTrue="1">
      <formula>#DIV/0!</formula>
    </cfRule>
  </conditionalFormatting>
  <conditionalFormatting sqref="F53">
    <cfRule type="cellIs" dxfId="33" priority="15" stopIfTrue="1" operator="equal">
      <formula>0</formula>
    </cfRule>
    <cfRule type="expression" dxfId="32" priority="16" stopIfTrue="1">
      <formula>#DIV/0!</formula>
    </cfRule>
  </conditionalFormatting>
  <conditionalFormatting sqref="F43:F44">
    <cfRule type="cellIs" dxfId="31" priority="13" stopIfTrue="1" operator="equal">
      <formula>0</formula>
    </cfRule>
    <cfRule type="expression" dxfId="30" priority="14" stopIfTrue="1">
      <formula>#DIV/0!</formula>
    </cfRule>
  </conditionalFormatting>
  <conditionalFormatting sqref="F47">
    <cfRule type="cellIs" dxfId="29" priority="11" stopIfTrue="1" operator="equal">
      <formula>0</formula>
    </cfRule>
    <cfRule type="expression" dxfId="28" priority="12" stopIfTrue="1">
      <formula>#DIV/0!</formula>
    </cfRule>
  </conditionalFormatting>
  <conditionalFormatting sqref="F52">
    <cfRule type="cellIs" dxfId="27" priority="9" stopIfTrue="1" operator="equal">
      <formula>0</formula>
    </cfRule>
    <cfRule type="expression" dxfId="26" priority="10" stopIfTrue="1">
      <formula>#DIV/0!</formula>
    </cfRule>
  </conditionalFormatting>
  <conditionalFormatting sqref="F65">
    <cfRule type="cellIs" dxfId="25" priority="5" stopIfTrue="1" operator="equal">
      <formula>0</formula>
    </cfRule>
    <cfRule type="expression" dxfId="24" priority="6" stopIfTrue="1">
      <formula>#DIV/0!</formula>
    </cfRule>
  </conditionalFormatting>
  <conditionalFormatting sqref="F70">
    <cfRule type="cellIs" dxfId="23" priority="3" stopIfTrue="1" operator="equal">
      <formula>0</formula>
    </cfRule>
    <cfRule type="expression" dxfId="22" priority="4" stopIfTrue="1">
      <formula>#DIV/0!</formula>
    </cfRule>
  </conditionalFormatting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211"/>
  <sheetViews>
    <sheetView zoomScaleNormal="100" workbookViewId="0">
      <selection activeCell="B26" sqref="B26:E26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5" bestFit="1" customWidth="1"/>
    <col min="18" max="18" width="10" style="16" bestFit="1" customWidth="1"/>
    <col min="19" max="19" width="11.7109375" style="16" bestFit="1" customWidth="1"/>
    <col min="20" max="16384" width="9.140625" style="4"/>
  </cols>
  <sheetData>
    <row r="1" spans="1:24" s="11" customFormat="1" ht="14.25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/>
      <c r="R1"/>
      <c r="S1"/>
      <c r="T1"/>
      <c r="U1"/>
      <c r="V1"/>
      <c r="W1"/>
      <c r="X1"/>
    </row>
    <row r="2" spans="1:24" s="11" customFormat="1" ht="14.25">
      <c r="A2" s="304" t="str">
        <f>Kopsavilkums!C20</f>
        <v>Grīdas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/>
      <c r="R2"/>
      <c r="S2"/>
      <c r="T2"/>
      <c r="U2"/>
      <c r="V2"/>
      <c r="W2"/>
      <c r="X2"/>
    </row>
    <row r="3" spans="1:24" s="11" customFormat="1" ht="14.25">
      <c r="A3" s="135" t="s">
        <v>158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/>
      <c r="R3"/>
      <c r="S3"/>
      <c r="T3"/>
      <c r="U3"/>
      <c r="V3"/>
      <c r="W3"/>
      <c r="X3"/>
    </row>
    <row r="4" spans="1:24" s="11" customFormat="1" ht="14.25">
      <c r="A4" s="135" t="s">
        <v>159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Q4"/>
      <c r="R4"/>
      <c r="S4"/>
      <c r="T4"/>
      <c r="U4"/>
      <c r="V4"/>
      <c r="W4"/>
      <c r="X4"/>
    </row>
    <row r="5" spans="1:24" s="11" customFormat="1" ht="14.25">
      <c r="A5" s="135" t="s">
        <v>160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/>
      <c r="R5"/>
      <c r="S5"/>
      <c r="T5"/>
      <c r="U5"/>
      <c r="V5"/>
      <c r="W5"/>
      <c r="X5"/>
    </row>
    <row r="6" spans="1:24" s="11" customFormat="1" ht="14.25">
      <c r="A6" s="13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Q6"/>
      <c r="R6"/>
      <c r="S6"/>
      <c r="T6"/>
      <c r="U6"/>
      <c r="V6"/>
      <c r="W6"/>
      <c r="X6"/>
    </row>
    <row r="7" spans="1:24" ht="13.5" thickBot="1">
      <c r="E7" s="14"/>
      <c r="F7" s="14"/>
      <c r="G7" s="14"/>
      <c r="H7" s="14"/>
      <c r="I7" s="14"/>
      <c r="J7"/>
      <c r="K7"/>
      <c r="L7"/>
      <c r="M7"/>
      <c r="N7"/>
      <c r="O7"/>
      <c r="Q7"/>
      <c r="R7"/>
      <c r="S7"/>
      <c r="T7"/>
      <c r="U7"/>
      <c r="V7"/>
      <c r="W7"/>
      <c r="X7"/>
    </row>
    <row r="8" spans="1:24" s="14" customFormat="1" ht="12.75" customHeight="1">
      <c r="A8" s="466" t="s">
        <v>14</v>
      </c>
      <c r="B8" s="306" t="s">
        <v>15</v>
      </c>
      <c r="C8" s="307"/>
      <c r="D8" s="307"/>
      <c r="E8" s="308"/>
      <c r="F8" s="306" t="s">
        <v>9</v>
      </c>
      <c r="G8" s="308"/>
      <c r="H8" s="306" t="s">
        <v>622</v>
      </c>
      <c r="I8" s="315"/>
      <c r="J8"/>
      <c r="K8"/>
      <c r="L8"/>
      <c r="M8"/>
      <c r="N8"/>
      <c r="O8"/>
      <c r="Q8"/>
      <c r="R8"/>
      <c r="S8"/>
      <c r="T8"/>
      <c r="U8"/>
      <c r="V8"/>
      <c r="W8"/>
      <c r="X8"/>
    </row>
    <row r="9" spans="1:24" s="14" customFormat="1" ht="12.75" customHeight="1">
      <c r="A9" s="467"/>
      <c r="B9" s="309"/>
      <c r="C9" s="310"/>
      <c r="D9" s="310"/>
      <c r="E9" s="311"/>
      <c r="F9" s="309"/>
      <c r="G9" s="311"/>
      <c r="H9" s="309"/>
      <c r="I9" s="316"/>
      <c r="J9"/>
      <c r="K9"/>
      <c r="L9"/>
      <c r="M9"/>
      <c r="N9"/>
      <c r="O9"/>
      <c r="Q9"/>
      <c r="R9"/>
      <c r="S9"/>
      <c r="T9"/>
      <c r="U9"/>
      <c r="V9"/>
      <c r="W9"/>
      <c r="X9"/>
    </row>
    <row r="10" spans="1:24" s="14" customFormat="1" ht="12.75" customHeight="1" thickBot="1">
      <c r="A10" s="468"/>
      <c r="B10" s="312"/>
      <c r="C10" s="313"/>
      <c r="D10" s="313"/>
      <c r="E10" s="314"/>
      <c r="F10" s="312"/>
      <c r="G10" s="314"/>
      <c r="H10" s="312"/>
      <c r="I10" s="317"/>
      <c r="J10"/>
      <c r="K10"/>
      <c r="L10"/>
      <c r="M10"/>
      <c r="N10"/>
      <c r="O10"/>
      <c r="Q10"/>
      <c r="R10"/>
      <c r="S10"/>
      <c r="T10"/>
      <c r="U10"/>
      <c r="V10"/>
      <c r="W10"/>
      <c r="X10"/>
    </row>
    <row r="11" spans="1:24" s="14" customFormat="1" ht="14.25" customHeight="1" thickTop="1" thickBot="1">
      <c r="A11" s="19">
        <v>1</v>
      </c>
      <c r="B11" s="361">
        <v>2</v>
      </c>
      <c r="C11" s="361"/>
      <c r="D11" s="361"/>
      <c r="E11" s="361"/>
      <c r="F11" s="361">
        <v>3</v>
      </c>
      <c r="G11" s="361"/>
      <c r="H11" s="361">
        <v>4</v>
      </c>
      <c r="I11" s="362"/>
      <c r="J11"/>
      <c r="K11"/>
      <c r="L11"/>
      <c r="M11"/>
      <c r="N11"/>
      <c r="O11"/>
      <c r="Q11"/>
      <c r="R11"/>
      <c r="S11"/>
      <c r="T11"/>
      <c r="U11"/>
      <c r="V11"/>
      <c r="W11"/>
      <c r="X11"/>
    </row>
    <row r="12" spans="1:24" s="10" customFormat="1" ht="15" thickTop="1">
      <c r="A12" s="250"/>
      <c r="B12" s="358" t="s">
        <v>623</v>
      </c>
      <c r="C12" s="358"/>
      <c r="D12" s="358"/>
      <c r="E12" s="358"/>
      <c r="F12" s="414"/>
      <c r="G12" s="414"/>
      <c r="H12" s="488"/>
      <c r="I12" s="489"/>
      <c r="J12"/>
      <c r="K12"/>
      <c r="L12"/>
      <c r="M12"/>
      <c r="N12"/>
      <c r="O12"/>
      <c r="P12" s="4"/>
      <c r="Q12"/>
      <c r="R12"/>
      <c r="S12"/>
      <c r="T12"/>
      <c r="U12"/>
      <c r="V12"/>
      <c r="W12"/>
      <c r="X12"/>
    </row>
    <row r="13" spans="1:24" s="10" customFormat="1" ht="14.25">
      <c r="A13" s="236" t="s">
        <v>69</v>
      </c>
      <c r="B13" s="388" t="s">
        <v>542</v>
      </c>
      <c r="C13" s="388"/>
      <c r="D13" s="388"/>
      <c r="E13" s="388"/>
      <c r="F13" s="295" t="s">
        <v>7</v>
      </c>
      <c r="G13" s="295"/>
      <c r="H13" s="354">
        <v>3</v>
      </c>
      <c r="I13" s="355"/>
      <c r="J13"/>
      <c r="K13"/>
      <c r="L13"/>
      <c r="M13"/>
      <c r="N13"/>
      <c r="O13"/>
      <c r="Q13"/>
      <c r="R13"/>
      <c r="S13"/>
      <c r="T13"/>
      <c r="U13"/>
      <c r="V13"/>
      <c r="W13"/>
      <c r="X13"/>
    </row>
    <row r="14" spans="1:24" s="10" customFormat="1" ht="14.25">
      <c r="A14" s="236" t="s">
        <v>70</v>
      </c>
      <c r="B14" s="388" t="s">
        <v>119</v>
      </c>
      <c r="C14" s="388"/>
      <c r="D14" s="388"/>
      <c r="E14" s="388"/>
      <c r="F14" s="295" t="s">
        <v>7</v>
      </c>
      <c r="G14" s="295"/>
      <c r="H14" s="354">
        <v>10.86</v>
      </c>
      <c r="I14" s="355"/>
      <c r="J14"/>
      <c r="K14"/>
      <c r="L14"/>
      <c r="M14"/>
      <c r="N14"/>
      <c r="O14"/>
      <c r="Q14"/>
      <c r="R14"/>
      <c r="S14"/>
      <c r="T14"/>
      <c r="U14"/>
      <c r="V14"/>
      <c r="W14"/>
      <c r="X14"/>
    </row>
    <row r="15" spans="1:24" s="9" customFormat="1" ht="14.25">
      <c r="A15" s="236"/>
      <c r="B15" s="357" t="s">
        <v>129</v>
      </c>
      <c r="C15" s="357"/>
      <c r="D15" s="357"/>
      <c r="E15" s="357"/>
      <c r="F15" s="452" t="s">
        <v>7</v>
      </c>
      <c r="G15" s="452"/>
      <c r="H15" s="354">
        <f>H14*1.15</f>
        <v>12.488999999999999</v>
      </c>
      <c r="I15" s="355"/>
      <c r="J15"/>
      <c r="K15"/>
      <c r="L15"/>
      <c r="M15"/>
      <c r="N15"/>
      <c r="O15"/>
      <c r="Q15"/>
      <c r="R15"/>
      <c r="S15"/>
      <c r="T15"/>
      <c r="U15"/>
      <c r="V15"/>
      <c r="W15"/>
      <c r="X15"/>
    </row>
    <row r="16" spans="1:24" s="10" customFormat="1" ht="14.25">
      <c r="A16" s="236" t="s">
        <v>72</v>
      </c>
      <c r="B16" s="388" t="s">
        <v>144</v>
      </c>
      <c r="C16" s="388"/>
      <c r="D16" s="388"/>
      <c r="E16" s="388"/>
      <c r="F16" s="295" t="s">
        <v>7</v>
      </c>
      <c r="G16" s="295"/>
      <c r="H16" s="354">
        <v>10.86</v>
      </c>
      <c r="I16" s="355"/>
      <c r="J16"/>
      <c r="K16"/>
      <c r="L16"/>
      <c r="M16"/>
      <c r="N16"/>
      <c r="O16"/>
      <c r="Q16"/>
      <c r="R16"/>
      <c r="S16"/>
      <c r="T16"/>
      <c r="U16"/>
      <c r="V16"/>
      <c r="W16"/>
      <c r="X16"/>
    </row>
    <row r="17" spans="1:63" s="9" customFormat="1" ht="14.25">
      <c r="A17" s="236"/>
      <c r="B17" s="405" t="s">
        <v>145</v>
      </c>
      <c r="C17" s="405"/>
      <c r="D17" s="405"/>
      <c r="E17" s="405"/>
      <c r="F17" s="382" t="s">
        <v>7</v>
      </c>
      <c r="G17" s="382"/>
      <c r="H17" s="377">
        <f>H16*1.05</f>
        <v>11.403</v>
      </c>
      <c r="I17" s="378"/>
      <c r="J17"/>
      <c r="K17"/>
      <c r="L17"/>
      <c r="M17"/>
      <c r="N17"/>
      <c r="O17"/>
      <c r="Q17"/>
      <c r="R17"/>
      <c r="S17"/>
      <c r="T17"/>
      <c r="U17"/>
      <c r="V17"/>
      <c r="W17"/>
      <c r="X17"/>
    </row>
    <row r="18" spans="1:63">
      <c r="A18" s="236" t="s">
        <v>73</v>
      </c>
      <c r="B18" s="388" t="s">
        <v>146</v>
      </c>
      <c r="C18" s="388"/>
      <c r="D18" s="388"/>
      <c r="E18" s="388"/>
      <c r="F18" s="381" t="s">
        <v>7</v>
      </c>
      <c r="G18" s="381"/>
      <c r="H18" s="367">
        <f>H16</f>
        <v>10.86</v>
      </c>
      <c r="I18" s="368"/>
      <c r="J18"/>
      <c r="K18"/>
      <c r="L18"/>
      <c r="M18"/>
      <c r="N18"/>
      <c r="O18"/>
      <c r="Q18"/>
      <c r="R18"/>
      <c r="S18"/>
      <c r="T18"/>
      <c r="U18"/>
      <c r="V18"/>
      <c r="W18"/>
      <c r="X18"/>
    </row>
    <row r="19" spans="1:63">
      <c r="A19" s="236"/>
      <c r="B19" s="387" t="s">
        <v>148</v>
      </c>
      <c r="C19" s="387"/>
      <c r="D19" s="387"/>
      <c r="E19" s="387"/>
      <c r="F19" s="381" t="s">
        <v>7</v>
      </c>
      <c r="G19" s="381"/>
      <c r="H19" s="367">
        <f>H18*1.05</f>
        <v>11.403</v>
      </c>
      <c r="I19" s="368"/>
      <c r="J19"/>
      <c r="K19"/>
      <c r="L19"/>
      <c r="M19"/>
      <c r="N19"/>
      <c r="O19"/>
      <c r="Q19"/>
      <c r="R19"/>
      <c r="S19"/>
      <c r="T19"/>
      <c r="U19"/>
      <c r="V19"/>
      <c r="W19"/>
      <c r="X19"/>
    </row>
    <row r="20" spans="1:63" s="5" customFormat="1" ht="14.25">
      <c r="A20" s="252"/>
      <c r="B20" s="387" t="s">
        <v>30</v>
      </c>
      <c r="C20" s="387"/>
      <c r="D20" s="387"/>
      <c r="E20" s="387"/>
      <c r="F20" s="381" t="s">
        <v>16</v>
      </c>
      <c r="G20" s="381"/>
      <c r="H20" s="373">
        <f>ROUND(H18*7,0)</f>
        <v>76</v>
      </c>
      <c r="I20" s="374"/>
      <c r="J20"/>
      <c r="K20"/>
      <c r="L20"/>
      <c r="M20"/>
      <c r="N20"/>
      <c r="O20"/>
      <c r="Q20"/>
      <c r="R20"/>
      <c r="S20"/>
      <c r="T20"/>
      <c r="U20"/>
      <c r="V20"/>
      <c r="W20"/>
      <c r="X20"/>
    </row>
    <row r="21" spans="1:63" s="158" customFormat="1">
      <c r="A21" s="236" t="s">
        <v>74</v>
      </c>
      <c r="B21" s="302" t="s">
        <v>149</v>
      </c>
      <c r="C21" s="302"/>
      <c r="D21" s="302"/>
      <c r="E21" s="302"/>
      <c r="F21" s="382" t="s">
        <v>13</v>
      </c>
      <c r="G21" s="382"/>
      <c r="H21" s="354">
        <f>H16*0.05</f>
        <v>0.54300000000000004</v>
      </c>
      <c r="I21" s="355"/>
      <c r="J21"/>
      <c r="K21"/>
      <c r="L21"/>
      <c r="M21"/>
      <c r="N21"/>
      <c r="O21"/>
      <c r="Q21"/>
      <c r="R21"/>
      <c r="S21"/>
      <c r="T21"/>
      <c r="U21"/>
      <c r="V21"/>
      <c r="W21"/>
      <c r="X21"/>
    </row>
    <row r="22" spans="1:63" s="10" customFormat="1" ht="14.25">
      <c r="A22" s="236"/>
      <c r="B22" s="484" t="s">
        <v>2</v>
      </c>
      <c r="C22" s="484"/>
      <c r="D22" s="484"/>
      <c r="E22" s="484"/>
      <c r="F22" s="356" t="s">
        <v>8</v>
      </c>
      <c r="G22" s="356"/>
      <c r="H22" s="352">
        <f>ROUND(H21*0.15,2)</f>
        <v>0.08</v>
      </c>
      <c r="I22" s="353"/>
      <c r="J22"/>
      <c r="K22"/>
      <c r="L22"/>
      <c r="M22"/>
      <c r="N22"/>
      <c r="O22"/>
      <c r="P22" s="23"/>
      <c r="Q22"/>
      <c r="R22"/>
      <c r="S22"/>
      <c r="T22"/>
      <c r="U22"/>
      <c r="V22"/>
      <c r="W22"/>
      <c r="X22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</row>
    <row r="23" spans="1:63" s="10" customFormat="1" ht="14.25">
      <c r="A23" s="236"/>
      <c r="B23" s="485" t="s">
        <v>150</v>
      </c>
      <c r="C23" s="485"/>
      <c r="D23" s="485"/>
      <c r="E23" s="485"/>
      <c r="F23" s="356" t="s">
        <v>13</v>
      </c>
      <c r="G23" s="356"/>
      <c r="H23" s="352">
        <f>H21*1.02</f>
        <v>0.55386000000000002</v>
      </c>
      <c r="I23" s="353"/>
      <c r="J23"/>
      <c r="K23"/>
      <c r="L23"/>
      <c r="M23"/>
      <c r="N23"/>
      <c r="O23"/>
      <c r="P23" s="23"/>
      <c r="Q23"/>
      <c r="R23"/>
      <c r="S23"/>
      <c r="T23"/>
      <c r="U23"/>
      <c r="V23"/>
      <c r="W23"/>
      <c r="X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</row>
    <row r="24" spans="1:63" s="5" customFormat="1" ht="14.25">
      <c r="A24" s="252"/>
      <c r="B24" s="413" t="s">
        <v>82</v>
      </c>
      <c r="C24" s="413"/>
      <c r="D24" s="413"/>
      <c r="E24" s="413"/>
      <c r="F24" s="295" t="s">
        <v>31</v>
      </c>
      <c r="G24" s="295"/>
      <c r="H24" s="375">
        <f>H16*0.33</f>
        <v>3.5838000000000001</v>
      </c>
      <c r="I24" s="376"/>
      <c r="J24"/>
      <c r="K24"/>
      <c r="L24"/>
      <c r="M24"/>
      <c r="N24"/>
      <c r="O24"/>
      <c r="P24" s="144"/>
      <c r="Q24"/>
      <c r="R24"/>
      <c r="S24"/>
      <c r="T24"/>
      <c r="U24"/>
      <c r="V24"/>
      <c r="W24"/>
      <c r="X2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</row>
    <row r="25" spans="1:63" s="5" customFormat="1" ht="14.25">
      <c r="A25" s="252"/>
      <c r="B25" s="413" t="s">
        <v>147</v>
      </c>
      <c r="C25" s="413"/>
      <c r="D25" s="413"/>
      <c r="E25" s="413"/>
      <c r="F25" s="295" t="s">
        <v>31</v>
      </c>
      <c r="G25" s="295"/>
      <c r="H25" s="375">
        <f>H16*1.25</f>
        <v>13.574999999999999</v>
      </c>
      <c r="I25" s="376"/>
      <c r="J25"/>
      <c r="K25"/>
      <c r="L25"/>
      <c r="M25"/>
      <c r="N25"/>
      <c r="O25"/>
      <c r="P25" s="144"/>
      <c r="Q25"/>
      <c r="R25"/>
      <c r="S25"/>
      <c r="T25"/>
      <c r="U25"/>
      <c r="V25"/>
      <c r="W25"/>
      <c r="X25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</row>
    <row r="26" spans="1:63" s="5" customFormat="1" ht="14.25">
      <c r="A26" s="247" t="s">
        <v>110</v>
      </c>
      <c r="B26" s="388" t="s">
        <v>81</v>
      </c>
      <c r="C26" s="388"/>
      <c r="D26" s="388"/>
      <c r="E26" s="388"/>
      <c r="F26" s="295" t="s">
        <v>31</v>
      </c>
      <c r="G26" s="295"/>
      <c r="H26" s="354">
        <f>H24</f>
        <v>3.5838000000000001</v>
      </c>
      <c r="I26" s="355"/>
      <c r="J26"/>
      <c r="K26"/>
      <c r="L26"/>
      <c r="M26"/>
      <c r="N26"/>
      <c r="O26"/>
      <c r="Q26"/>
      <c r="R26"/>
      <c r="S26"/>
      <c r="T26"/>
      <c r="U26"/>
      <c r="V26"/>
      <c r="W26"/>
      <c r="X26"/>
    </row>
    <row r="27" spans="1:63" s="5" customFormat="1" ht="14.25">
      <c r="A27" s="252"/>
      <c r="B27" s="483" t="s">
        <v>130</v>
      </c>
      <c r="C27" s="483"/>
      <c r="D27" s="483"/>
      <c r="E27" s="483"/>
      <c r="F27" s="403" t="s">
        <v>28</v>
      </c>
      <c r="G27" s="403"/>
      <c r="H27" s="397">
        <f>ROUND(H26*0.075,2)</f>
        <v>0.27</v>
      </c>
      <c r="I27" s="398"/>
      <c r="J27"/>
      <c r="K27"/>
      <c r="L27"/>
      <c r="M27"/>
      <c r="N27"/>
      <c r="O27"/>
      <c r="Q27"/>
      <c r="R27"/>
      <c r="S27"/>
      <c r="T27"/>
      <c r="U27"/>
      <c r="V27"/>
      <c r="W27"/>
      <c r="X27"/>
    </row>
    <row r="28" spans="1:63" s="10" customFormat="1" ht="14.25">
      <c r="A28" s="236" t="s">
        <v>111</v>
      </c>
      <c r="B28" s="301" t="s">
        <v>290</v>
      </c>
      <c r="C28" s="301"/>
      <c r="D28" s="301"/>
      <c r="E28" s="301"/>
      <c r="F28" s="295" t="s">
        <v>7</v>
      </c>
      <c r="G28" s="295"/>
      <c r="H28" s="354">
        <f>10.86-4.5</f>
        <v>6.3599999999999994</v>
      </c>
      <c r="I28" s="355"/>
      <c r="J28"/>
      <c r="K28"/>
      <c r="L28"/>
      <c r="M28"/>
      <c r="N28"/>
      <c r="O28"/>
      <c r="Q28"/>
      <c r="R28"/>
      <c r="S28"/>
      <c r="T28"/>
      <c r="U28"/>
      <c r="V28"/>
      <c r="W28"/>
      <c r="X28"/>
    </row>
    <row r="29" spans="1:63" s="9" customFormat="1" ht="14.25">
      <c r="A29" s="236"/>
      <c r="B29" s="387" t="s">
        <v>287</v>
      </c>
      <c r="C29" s="387"/>
      <c r="D29" s="387"/>
      <c r="E29" s="387"/>
      <c r="F29" s="295" t="s">
        <v>7</v>
      </c>
      <c r="G29" s="295"/>
      <c r="H29" s="354">
        <f>H28*1.05</f>
        <v>6.6779999999999999</v>
      </c>
      <c r="I29" s="355"/>
      <c r="J29"/>
      <c r="K29"/>
      <c r="L29"/>
      <c r="M29"/>
      <c r="N29"/>
      <c r="O29"/>
      <c r="Q29"/>
      <c r="R29"/>
      <c r="S29"/>
      <c r="T29"/>
      <c r="U29"/>
      <c r="V29"/>
      <c r="W29"/>
      <c r="X29"/>
    </row>
    <row r="30" spans="1:63" s="10" customFormat="1" ht="14.25">
      <c r="A30" s="236" t="s">
        <v>118</v>
      </c>
      <c r="B30" s="301" t="s">
        <v>288</v>
      </c>
      <c r="C30" s="301"/>
      <c r="D30" s="301"/>
      <c r="E30" s="301"/>
      <c r="F30" s="295" t="s">
        <v>13</v>
      </c>
      <c r="G30" s="295"/>
      <c r="H30" s="354">
        <f>10.86*0.06</f>
        <v>0.65159999999999996</v>
      </c>
      <c r="I30" s="355"/>
      <c r="J30"/>
      <c r="K30"/>
      <c r="L30"/>
      <c r="M30"/>
      <c r="N30"/>
      <c r="O30"/>
      <c r="Q30"/>
      <c r="R30"/>
      <c r="S30"/>
      <c r="T30"/>
      <c r="U30"/>
      <c r="V30"/>
      <c r="W30"/>
      <c r="X30"/>
    </row>
    <row r="31" spans="1:63" s="9" customFormat="1" ht="14.25">
      <c r="A31" s="236"/>
      <c r="B31" s="387" t="s">
        <v>289</v>
      </c>
      <c r="C31" s="387"/>
      <c r="D31" s="387"/>
      <c r="E31" s="387"/>
      <c r="F31" s="381" t="s">
        <v>13</v>
      </c>
      <c r="G31" s="381"/>
      <c r="H31" s="367">
        <f>ROUND(H30*1.12,2)</f>
        <v>0.73</v>
      </c>
      <c r="I31" s="368"/>
      <c r="J31"/>
      <c r="K31"/>
      <c r="L31"/>
      <c r="M31"/>
      <c r="N31"/>
      <c r="O31"/>
      <c r="Q31"/>
      <c r="R31"/>
      <c r="S31"/>
      <c r="T31"/>
      <c r="U31"/>
      <c r="V31"/>
      <c r="W31"/>
      <c r="X31"/>
    </row>
    <row r="32" spans="1:63" s="10" customFormat="1" ht="25.5" customHeight="1">
      <c r="A32" s="242" t="s">
        <v>126</v>
      </c>
      <c r="B32" s="479" t="s">
        <v>610</v>
      </c>
      <c r="C32" s="479"/>
      <c r="D32" s="479"/>
      <c r="E32" s="479"/>
      <c r="F32" s="295" t="s">
        <v>7</v>
      </c>
      <c r="G32" s="295"/>
      <c r="H32" s="470">
        <v>3</v>
      </c>
      <c r="I32" s="471"/>
      <c r="J32"/>
      <c r="K32"/>
      <c r="L32"/>
      <c r="M32"/>
      <c r="N32"/>
      <c r="O32"/>
      <c r="Q32"/>
      <c r="R32"/>
      <c r="S32"/>
      <c r="T32"/>
      <c r="U32"/>
      <c r="V32"/>
      <c r="W32"/>
      <c r="X32"/>
    </row>
    <row r="33" spans="1:24" s="10" customFormat="1" ht="14.25">
      <c r="A33" s="242" t="s">
        <v>291</v>
      </c>
      <c r="B33" s="479" t="s">
        <v>620</v>
      </c>
      <c r="C33" s="479"/>
      <c r="D33" s="479"/>
      <c r="E33" s="479"/>
      <c r="F33" s="295" t="s">
        <v>7</v>
      </c>
      <c r="G33" s="295"/>
      <c r="H33" s="470">
        <v>4.5</v>
      </c>
      <c r="I33" s="471"/>
      <c r="J33"/>
      <c r="K33"/>
      <c r="L33"/>
      <c r="M33"/>
      <c r="N33"/>
      <c r="O33"/>
      <c r="Q33"/>
      <c r="R33"/>
      <c r="S33"/>
      <c r="T33"/>
      <c r="U33"/>
      <c r="V33"/>
      <c r="W33"/>
      <c r="X33"/>
    </row>
    <row r="34" spans="1:24" s="10" customFormat="1" ht="14.25">
      <c r="A34" s="242" t="s">
        <v>292</v>
      </c>
      <c r="B34" s="482" t="s">
        <v>611</v>
      </c>
      <c r="C34" s="482"/>
      <c r="D34" s="482"/>
      <c r="E34" s="482"/>
      <c r="F34" s="295" t="s">
        <v>7</v>
      </c>
      <c r="G34" s="295"/>
      <c r="H34" s="354">
        <v>8</v>
      </c>
      <c r="I34" s="355"/>
      <c r="J34"/>
      <c r="K34"/>
      <c r="L34"/>
      <c r="M34"/>
      <c r="N34"/>
      <c r="O34"/>
      <c r="Q34"/>
      <c r="R34"/>
      <c r="S34"/>
      <c r="T34"/>
      <c r="U34"/>
      <c r="V34"/>
      <c r="W34"/>
      <c r="X34"/>
    </row>
    <row r="35" spans="1:24" s="9" customFormat="1" ht="14.25">
      <c r="A35" s="236"/>
      <c r="B35" s="405" t="s">
        <v>612</v>
      </c>
      <c r="C35" s="405"/>
      <c r="D35" s="405"/>
      <c r="E35" s="405"/>
      <c r="F35" s="452" t="s">
        <v>7</v>
      </c>
      <c r="G35" s="452"/>
      <c r="H35" s="354">
        <v>8</v>
      </c>
      <c r="I35" s="355"/>
      <c r="J35"/>
      <c r="K35"/>
      <c r="L35"/>
      <c r="M35"/>
      <c r="N35"/>
      <c r="O35"/>
      <c r="Q35"/>
      <c r="R35"/>
      <c r="S35"/>
      <c r="T35"/>
      <c r="U35"/>
      <c r="V35"/>
      <c r="W35"/>
      <c r="X35"/>
    </row>
    <row r="36" spans="1:24">
      <c r="A36" s="247"/>
      <c r="B36" s="387" t="s">
        <v>293</v>
      </c>
      <c r="C36" s="387"/>
      <c r="D36" s="387"/>
      <c r="E36" s="387"/>
      <c r="F36" s="469" t="s">
        <v>17</v>
      </c>
      <c r="G36" s="469"/>
      <c r="H36" s="373">
        <v>1</v>
      </c>
      <c r="I36" s="374"/>
      <c r="J36"/>
      <c r="K36"/>
      <c r="L36"/>
      <c r="M36"/>
      <c r="N36"/>
      <c r="O36"/>
      <c r="Q36"/>
      <c r="R36"/>
      <c r="S36"/>
      <c r="T36"/>
      <c r="U36"/>
      <c r="V36"/>
      <c r="W36"/>
      <c r="X36"/>
    </row>
    <row r="37" spans="1:24" s="10" customFormat="1" ht="14.25">
      <c r="A37" s="246"/>
      <c r="B37" s="399" t="s">
        <v>297</v>
      </c>
      <c r="C37" s="399"/>
      <c r="D37" s="399"/>
      <c r="E37" s="399"/>
      <c r="F37" s="381"/>
      <c r="G37" s="381"/>
      <c r="H37" s="367"/>
      <c r="I37" s="368"/>
      <c r="J37"/>
      <c r="K37"/>
      <c r="L37"/>
      <c r="M37"/>
      <c r="N37"/>
      <c r="O37"/>
      <c r="P37" s="4"/>
      <c r="Q37"/>
      <c r="R37"/>
      <c r="S37"/>
      <c r="T37"/>
      <c r="U37"/>
      <c r="V37"/>
      <c r="W37"/>
      <c r="X37"/>
    </row>
    <row r="38" spans="1:24" s="193" customFormat="1" ht="30" customHeight="1">
      <c r="A38" s="242" t="s">
        <v>71</v>
      </c>
      <c r="B38" s="479" t="s">
        <v>294</v>
      </c>
      <c r="C38" s="479"/>
      <c r="D38" s="479"/>
      <c r="E38" s="479"/>
      <c r="F38" s="295" t="s">
        <v>7</v>
      </c>
      <c r="G38" s="295"/>
      <c r="H38" s="470">
        <v>23.87</v>
      </c>
      <c r="I38" s="471"/>
      <c r="J38"/>
      <c r="K38"/>
      <c r="L38"/>
      <c r="M38"/>
      <c r="N38"/>
      <c r="O38"/>
      <c r="P38" s="192"/>
      <c r="Q38"/>
      <c r="R38"/>
      <c r="S38"/>
      <c r="T38"/>
      <c r="U38"/>
      <c r="V38"/>
      <c r="W38"/>
      <c r="X38"/>
    </row>
    <row r="39" spans="1:24" s="5" customFormat="1" ht="14.25">
      <c r="A39" s="242" t="s">
        <v>265</v>
      </c>
      <c r="B39" s="302" t="s">
        <v>295</v>
      </c>
      <c r="C39" s="302"/>
      <c r="D39" s="302"/>
      <c r="E39" s="302"/>
      <c r="F39" s="295" t="s">
        <v>31</v>
      </c>
      <c r="G39" s="295"/>
      <c r="H39" s="473">
        <f>ROUND((SQRT(H38)*4-1),2)</f>
        <v>18.54</v>
      </c>
      <c r="I39" s="474"/>
      <c r="J39"/>
      <c r="K39"/>
      <c r="L39"/>
      <c r="M39"/>
      <c r="N39"/>
      <c r="O39"/>
      <c r="Q39"/>
      <c r="R39"/>
      <c r="S39"/>
      <c r="T39"/>
      <c r="U39"/>
      <c r="V39"/>
      <c r="W39"/>
      <c r="X39"/>
    </row>
    <row r="40" spans="1:24" s="158" customFormat="1">
      <c r="A40" s="247"/>
      <c r="B40" s="407" t="s">
        <v>296</v>
      </c>
      <c r="C40" s="407"/>
      <c r="D40" s="407"/>
      <c r="E40" s="407"/>
      <c r="F40" s="295" t="s">
        <v>31</v>
      </c>
      <c r="G40" s="295"/>
      <c r="H40" s="354">
        <f>H39*1.1</f>
        <v>20.394000000000002</v>
      </c>
      <c r="I40" s="355"/>
      <c r="J40"/>
      <c r="K40"/>
      <c r="L40"/>
      <c r="M40"/>
      <c r="N40"/>
      <c r="O40"/>
      <c r="Q40"/>
      <c r="R40"/>
      <c r="S40"/>
      <c r="T40"/>
      <c r="U40"/>
      <c r="V40"/>
      <c r="W40"/>
      <c r="X40"/>
    </row>
    <row r="41" spans="1:24" s="10" customFormat="1" ht="14.25">
      <c r="A41" s="246"/>
      <c r="B41" s="399" t="s">
        <v>608</v>
      </c>
      <c r="C41" s="399"/>
      <c r="D41" s="399"/>
      <c r="E41" s="399"/>
      <c r="F41" s="381"/>
      <c r="G41" s="381"/>
      <c r="H41" s="367"/>
      <c r="I41" s="368"/>
      <c r="J41"/>
      <c r="K41"/>
      <c r="L41"/>
      <c r="M41"/>
      <c r="N41"/>
      <c r="O41"/>
      <c r="P41" s="4"/>
      <c r="Q41"/>
      <c r="R41"/>
      <c r="S41"/>
      <c r="T41"/>
      <c r="U41"/>
      <c r="V41"/>
      <c r="W41"/>
      <c r="X41"/>
    </row>
    <row r="42" spans="1:24" s="193" customFormat="1">
      <c r="A42" s="242" t="s">
        <v>76</v>
      </c>
      <c r="B42" s="479" t="s">
        <v>119</v>
      </c>
      <c r="C42" s="479"/>
      <c r="D42" s="479"/>
      <c r="E42" s="479"/>
      <c r="F42" s="472" t="s">
        <v>7</v>
      </c>
      <c r="G42" s="472"/>
      <c r="H42" s="470">
        <f>5.08*2+3.1</f>
        <v>13.26</v>
      </c>
      <c r="I42" s="471"/>
      <c r="J42"/>
      <c r="K42"/>
      <c r="L42"/>
      <c r="M42"/>
      <c r="N42"/>
      <c r="O42"/>
      <c r="P42" s="192"/>
      <c r="Q42"/>
      <c r="R42"/>
      <c r="S42"/>
      <c r="T42"/>
      <c r="U42"/>
      <c r="V42"/>
      <c r="W42"/>
      <c r="X42"/>
    </row>
    <row r="43" spans="1:24" s="25" customFormat="1">
      <c r="A43" s="253"/>
      <c r="B43" s="385" t="s">
        <v>298</v>
      </c>
      <c r="C43" s="385"/>
      <c r="D43" s="385"/>
      <c r="E43" s="385"/>
      <c r="F43" s="450" t="s">
        <v>28</v>
      </c>
      <c r="G43" s="450"/>
      <c r="H43" s="473">
        <f>ROUND(H42*0.1,2)</f>
        <v>1.33</v>
      </c>
      <c r="I43" s="474"/>
      <c r="J43"/>
      <c r="K43"/>
      <c r="L43"/>
      <c r="M43"/>
      <c r="N43"/>
      <c r="O43"/>
      <c r="Q43"/>
      <c r="R43"/>
      <c r="S43"/>
      <c r="T43"/>
      <c r="U43"/>
      <c r="V43"/>
      <c r="W43"/>
      <c r="X43"/>
    </row>
    <row r="44" spans="1:24" s="136" customFormat="1">
      <c r="A44" s="254"/>
      <c r="B44" s="490" t="s">
        <v>299</v>
      </c>
      <c r="C44" s="490"/>
      <c r="D44" s="490"/>
      <c r="E44" s="490"/>
      <c r="F44" s="450" t="s">
        <v>26</v>
      </c>
      <c r="G44" s="450"/>
      <c r="H44" s="367">
        <f>ROUND(H42*2.5,2)</f>
        <v>33.15</v>
      </c>
      <c r="I44" s="368"/>
      <c r="J44"/>
      <c r="K44"/>
      <c r="L44"/>
      <c r="M44"/>
      <c r="N44"/>
      <c r="O44"/>
      <c r="Q44"/>
      <c r="R44"/>
      <c r="S44"/>
      <c r="T44"/>
      <c r="U44"/>
      <c r="V44"/>
      <c r="W44"/>
      <c r="X44"/>
    </row>
    <row r="45" spans="1:24" s="25" customFormat="1">
      <c r="A45" s="253"/>
      <c r="B45" s="385" t="s">
        <v>300</v>
      </c>
      <c r="C45" s="385"/>
      <c r="D45" s="385"/>
      <c r="E45" s="385"/>
      <c r="F45" s="450" t="s">
        <v>7</v>
      </c>
      <c r="G45" s="450"/>
      <c r="H45" s="473">
        <f>ROUND(H42*1.05,2)</f>
        <v>13.92</v>
      </c>
      <c r="I45" s="474"/>
      <c r="J45"/>
      <c r="K45"/>
      <c r="L45"/>
      <c r="M45"/>
      <c r="N45"/>
      <c r="O45"/>
      <c r="Q45"/>
      <c r="R45"/>
      <c r="S45"/>
      <c r="T45"/>
      <c r="U45"/>
      <c r="V45"/>
      <c r="W45"/>
      <c r="X45"/>
    </row>
    <row r="46" spans="1:24" s="25" customFormat="1">
      <c r="A46" s="253"/>
      <c r="B46" s="385" t="s">
        <v>301</v>
      </c>
      <c r="C46" s="385"/>
      <c r="D46" s="385"/>
      <c r="E46" s="385"/>
      <c r="F46" s="450" t="s">
        <v>31</v>
      </c>
      <c r="G46" s="450"/>
      <c r="H46" s="473">
        <f>ROUND(H42*1.05,2)</f>
        <v>13.92</v>
      </c>
      <c r="I46" s="474"/>
      <c r="J46"/>
      <c r="K46"/>
      <c r="L46"/>
      <c r="M46"/>
      <c r="N46"/>
      <c r="O46"/>
      <c r="Q46"/>
      <c r="R46"/>
      <c r="S46"/>
      <c r="T46"/>
      <c r="U46"/>
      <c r="V46"/>
      <c r="W46"/>
      <c r="X46"/>
    </row>
    <row r="47" spans="1:24" s="27" customFormat="1" ht="14.25">
      <c r="A47" s="247" t="s">
        <v>77</v>
      </c>
      <c r="B47" s="486" t="s">
        <v>302</v>
      </c>
      <c r="C47" s="486"/>
      <c r="D47" s="486"/>
      <c r="E47" s="486"/>
      <c r="F47" s="403" t="s">
        <v>7</v>
      </c>
      <c r="G47" s="403"/>
      <c r="H47" s="455">
        <v>31.46</v>
      </c>
      <c r="I47" s="456"/>
      <c r="J47"/>
      <c r="K47"/>
      <c r="L47"/>
      <c r="M47"/>
      <c r="N47"/>
      <c r="O47"/>
      <c r="Q47"/>
      <c r="R47"/>
      <c r="S47"/>
      <c r="T47"/>
      <c r="U47"/>
      <c r="V47"/>
      <c r="W47"/>
      <c r="X47"/>
    </row>
    <row r="48" spans="1:24" s="27" customFormat="1" ht="14.25">
      <c r="A48" s="255"/>
      <c r="B48" s="487" t="s">
        <v>618</v>
      </c>
      <c r="C48" s="487"/>
      <c r="D48" s="487"/>
      <c r="E48" s="487"/>
      <c r="F48" s="475" t="s">
        <v>7</v>
      </c>
      <c r="G48" s="475"/>
      <c r="H48" s="455">
        <v>31.97</v>
      </c>
      <c r="I48" s="456"/>
      <c r="J48"/>
      <c r="K48"/>
      <c r="L48"/>
      <c r="M48"/>
      <c r="N48"/>
      <c r="O48"/>
      <c r="P48" s="25"/>
      <c r="Q48"/>
      <c r="R48"/>
      <c r="S48"/>
      <c r="T48"/>
      <c r="U48"/>
      <c r="V48"/>
      <c r="W48"/>
      <c r="X48"/>
    </row>
    <row r="49" spans="1:31" s="27" customFormat="1" ht="14.25">
      <c r="A49" s="255"/>
      <c r="B49" s="387" t="s">
        <v>303</v>
      </c>
      <c r="C49" s="387"/>
      <c r="D49" s="387"/>
      <c r="E49" s="387"/>
      <c r="F49" s="475" t="s">
        <v>304</v>
      </c>
      <c r="G49" s="475"/>
      <c r="H49" s="455">
        <v>3.5</v>
      </c>
      <c r="I49" s="456"/>
      <c r="J49"/>
      <c r="K49"/>
      <c r="L49"/>
      <c r="M49"/>
      <c r="N49"/>
      <c r="O49"/>
      <c r="P49" s="25"/>
      <c r="Q49"/>
      <c r="R49"/>
      <c r="S49"/>
      <c r="T49"/>
      <c r="U49"/>
      <c r="V49"/>
      <c r="W49"/>
      <c r="X49"/>
    </row>
    <row r="50" spans="1:31" s="27" customFormat="1" ht="14.25">
      <c r="A50" s="255"/>
      <c r="B50" s="387" t="s">
        <v>305</v>
      </c>
      <c r="C50" s="387"/>
      <c r="D50" s="387"/>
      <c r="E50" s="387"/>
      <c r="F50" s="475" t="s">
        <v>306</v>
      </c>
      <c r="G50" s="475"/>
      <c r="H50" s="455">
        <f>H47*36/200</f>
        <v>5.6627999999999998</v>
      </c>
      <c r="I50" s="456"/>
      <c r="J50"/>
      <c r="K50"/>
      <c r="L50"/>
      <c r="M50"/>
      <c r="N50"/>
      <c r="O50"/>
      <c r="P50" s="25"/>
      <c r="Q50"/>
      <c r="R50"/>
      <c r="S50"/>
      <c r="T50"/>
      <c r="U50"/>
      <c r="V50"/>
      <c r="W50"/>
      <c r="X50"/>
    </row>
    <row r="51" spans="1:31" s="27" customFormat="1" ht="14.25">
      <c r="A51" s="255"/>
      <c r="B51" s="387" t="s">
        <v>307</v>
      </c>
      <c r="C51" s="387"/>
      <c r="D51" s="387"/>
      <c r="E51" s="387"/>
      <c r="F51" s="475" t="s">
        <v>28</v>
      </c>
      <c r="G51" s="475"/>
      <c r="H51" s="455">
        <f>H47*0.33</f>
        <v>10.3818</v>
      </c>
      <c r="I51" s="456"/>
      <c r="J51"/>
      <c r="K51"/>
      <c r="L51"/>
      <c r="M51"/>
      <c r="N51"/>
      <c r="O51"/>
      <c r="P51" s="25"/>
      <c r="Q51"/>
      <c r="R51"/>
      <c r="S51"/>
      <c r="T51"/>
      <c r="U51"/>
      <c r="V51"/>
      <c r="W51"/>
      <c r="X51"/>
    </row>
    <row r="52" spans="1:31" s="27" customFormat="1" ht="14.25">
      <c r="A52" s="247" t="s">
        <v>78</v>
      </c>
      <c r="B52" s="486" t="s">
        <v>309</v>
      </c>
      <c r="C52" s="486"/>
      <c r="D52" s="486"/>
      <c r="E52" s="486"/>
      <c r="F52" s="417" t="s">
        <v>31</v>
      </c>
      <c r="G52" s="417"/>
      <c r="H52" s="477">
        <v>14.5</v>
      </c>
      <c r="I52" s="478"/>
      <c r="J52"/>
      <c r="K52"/>
      <c r="L52"/>
      <c r="M52"/>
      <c r="N52"/>
      <c r="O52"/>
      <c r="Q52"/>
      <c r="R52"/>
      <c r="S52"/>
      <c r="T52"/>
      <c r="U52"/>
      <c r="V52"/>
      <c r="W52"/>
      <c r="X52"/>
    </row>
    <row r="53" spans="1:31" s="188" customFormat="1" ht="14.25">
      <c r="A53" s="256"/>
      <c r="B53" s="487" t="s">
        <v>619</v>
      </c>
      <c r="C53" s="487"/>
      <c r="D53" s="487"/>
      <c r="E53" s="487"/>
      <c r="F53" s="475" t="s">
        <v>7</v>
      </c>
      <c r="G53" s="475"/>
      <c r="H53" s="455">
        <v>4.17</v>
      </c>
      <c r="I53" s="456"/>
      <c r="J53"/>
      <c r="K53"/>
      <c r="L53"/>
      <c r="M53"/>
      <c r="N53"/>
      <c r="O53"/>
      <c r="P53" s="136"/>
      <c r="Q53"/>
      <c r="R53"/>
      <c r="S53"/>
      <c r="T53"/>
      <c r="U53"/>
      <c r="V53"/>
      <c r="W53"/>
      <c r="X53"/>
    </row>
    <row r="54" spans="1:31" s="27" customFormat="1" ht="14.25">
      <c r="A54" s="255"/>
      <c r="B54" s="387" t="s">
        <v>303</v>
      </c>
      <c r="C54" s="387"/>
      <c r="D54" s="387"/>
      <c r="E54" s="387"/>
      <c r="F54" s="476" t="s">
        <v>304</v>
      </c>
      <c r="G54" s="476"/>
      <c r="H54" s="419">
        <f>H52*3.5*0.15</f>
        <v>7.6124999999999998</v>
      </c>
      <c r="I54" s="420"/>
      <c r="J54"/>
      <c r="K54"/>
      <c r="L54"/>
      <c r="M54"/>
      <c r="N54"/>
      <c r="O54"/>
      <c r="P54" s="25"/>
      <c r="Q54"/>
      <c r="R54"/>
      <c r="S54"/>
      <c r="T54"/>
      <c r="U54"/>
      <c r="V54"/>
      <c r="W54"/>
      <c r="X54"/>
    </row>
    <row r="55" spans="1:31" s="27" customFormat="1" ht="14.25">
      <c r="A55" s="255"/>
      <c r="B55" s="387" t="s">
        <v>305</v>
      </c>
      <c r="C55" s="387"/>
      <c r="D55" s="387"/>
      <c r="E55" s="387"/>
      <c r="F55" s="475" t="s">
        <v>306</v>
      </c>
      <c r="G55" s="475"/>
      <c r="H55" s="477">
        <f>H52*11/200/3</f>
        <v>0.26583333333333331</v>
      </c>
      <c r="I55" s="478"/>
      <c r="J55"/>
      <c r="K55"/>
      <c r="L55"/>
      <c r="M55"/>
      <c r="N55"/>
      <c r="O55"/>
      <c r="P55" s="25"/>
      <c r="Q55"/>
      <c r="R55"/>
      <c r="S55"/>
      <c r="T55"/>
      <c r="U55"/>
      <c r="V55"/>
      <c r="W55"/>
      <c r="X55"/>
    </row>
    <row r="56" spans="1:31" s="27" customFormat="1" ht="14.25">
      <c r="A56" s="255"/>
      <c r="B56" s="387" t="s">
        <v>310</v>
      </c>
      <c r="C56" s="387"/>
      <c r="D56" s="387"/>
      <c r="E56" s="387"/>
      <c r="F56" s="476" t="s">
        <v>304</v>
      </c>
      <c r="G56" s="476"/>
      <c r="H56" s="477">
        <f>H52*0.6*0.15</f>
        <v>1.3049999999999999</v>
      </c>
      <c r="I56" s="478"/>
      <c r="J56"/>
      <c r="K56"/>
      <c r="L56"/>
      <c r="M56"/>
      <c r="N56"/>
      <c r="O56"/>
      <c r="P56" s="25"/>
      <c r="Q56"/>
      <c r="R56"/>
      <c r="S56"/>
      <c r="T56"/>
      <c r="U56"/>
      <c r="V56"/>
      <c r="W56"/>
      <c r="X56"/>
    </row>
    <row r="57" spans="1:31" s="193" customFormat="1" ht="30" customHeight="1">
      <c r="A57" s="242" t="s">
        <v>83</v>
      </c>
      <c r="B57" s="479" t="s">
        <v>335</v>
      </c>
      <c r="C57" s="479"/>
      <c r="D57" s="479"/>
      <c r="E57" s="479"/>
      <c r="F57" s="295" t="s">
        <v>7</v>
      </c>
      <c r="G57" s="295"/>
      <c r="H57" s="470">
        <f>5.98+4.4</f>
        <v>10.38</v>
      </c>
      <c r="I57" s="471"/>
      <c r="J57"/>
      <c r="K57"/>
      <c r="L57"/>
      <c r="M57"/>
      <c r="N57"/>
      <c r="O57"/>
      <c r="P57" s="192"/>
      <c r="Q57"/>
      <c r="R57"/>
      <c r="S57"/>
      <c r="T57"/>
      <c r="U57"/>
      <c r="V57"/>
      <c r="W57"/>
      <c r="X57"/>
    </row>
    <row r="58" spans="1:31" s="5" customFormat="1" ht="14.25">
      <c r="A58" s="242" t="s">
        <v>311</v>
      </c>
      <c r="B58" s="479" t="s">
        <v>295</v>
      </c>
      <c r="C58" s="479"/>
      <c r="D58" s="479"/>
      <c r="E58" s="479"/>
      <c r="F58" s="295" t="s">
        <v>31</v>
      </c>
      <c r="G58" s="295"/>
      <c r="H58" s="473">
        <f>ROUND((SQRT(H57)*4-1.8),2)</f>
        <v>11.09</v>
      </c>
      <c r="I58" s="474"/>
      <c r="J58"/>
      <c r="K58"/>
      <c r="L58"/>
      <c r="M58"/>
      <c r="N58"/>
      <c r="O58"/>
      <c r="Q58"/>
      <c r="R58"/>
      <c r="S58"/>
      <c r="T58"/>
      <c r="U58"/>
      <c r="V58"/>
      <c r="W58"/>
      <c r="X58"/>
    </row>
    <row r="59" spans="1:31" s="158" customFormat="1">
      <c r="A59" s="247"/>
      <c r="B59" s="481" t="s">
        <v>296</v>
      </c>
      <c r="C59" s="481"/>
      <c r="D59" s="481"/>
      <c r="E59" s="481"/>
      <c r="F59" s="295" t="s">
        <v>31</v>
      </c>
      <c r="G59" s="295"/>
      <c r="H59" s="354">
        <f>H58*1.1</f>
        <v>12.199000000000002</v>
      </c>
      <c r="I59" s="355"/>
      <c r="J59"/>
      <c r="K59"/>
      <c r="L59"/>
      <c r="M59"/>
      <c r="N59"/>
      <c r="O59"/>
      <c r="Q59"/>
      <c r="R59"/>
      <c r="S59"/>
      <c r="T59"/>
      <c r="U59"/>
      <c r="V59"/>
      <c r="W59"/>
      <c r="X59"/>
    </row>
    <row r="60" spans="1:31" s="10" customFormat="1" ht="15" thickBot="1">
      <c r="A60" s="234">
        <v>4</v>
      </c>
      <c r="B60" s="480" t="s">
        <v>32</v>
      </c>
      <c r="C60" s="480"/>
      <c r="D60" s="480"/>
      <c r="E60" s="480"/>
      <c r="F60" s="296" t="s">
        <v>23</v>
      </c>
      <c r="G60" s="296"/>
      <c r="H60" s="427">
        <v>1</v>
      </c>
      <c r="I60" s="428"/>
      <c r="J60"/>
      <c r="K60"/>
      <c r="L60"/>
      <c r="M60"/>
      <c r="N60"/>
      <c r="O60"/>
      <c r="Q60"/>
      <c r="R60"/>
      <c r="S60"/>
      <c r="T60"/>
      <c r="U60"/>
      <c r="V60"/>
      <c r="W60"/>
      <c r="X60"/>
    </row>
    <row r="61" spans="1:31" s="11" customFormat="1" ht="14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10"/>
      <c r="Q61"/>
      <c r="R61"/>
      <c r="S61"/>
      <c r="T61"/>
      <c r="U61"/>
      <c r="V61"/>
      <c r="W61"/>
      <c r="X61"/>
      <c r="Y61" s="10"/>
      <c r="Z61" s="10"/>
      <c r="AA61" s="10"/>
      <c r="AB61" s="10"/>
      <c r="AC61" s="10"/>
      <c r="AD61" s="10"/>
      <c r="AE61" s="10"/>
    </row>
    <row r="62" spans="1:31" s="11" customFormat="1" ht="14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10"/>
      <c r="Q62"/>
      <c r="R62"/>
      <c r="S62"/>
      <c r="T62"/>
      <c r="U62"/>
      <c r="V62"/>
      <c r="W62"/>
      <c r="X62"/>
      <c r="Y62" s="10"/>
      <c r="Z62" s="10"/>
      <c r="AA62" s="10"/>
      <c r="AB62" s="10"/>
      <c r="AC62" s="10"/>
      <c r="AD62" s="10"/>
      <c r="AE62" s="10"/>
    </row>
    <row r="63" spans="1:31" s="11" customFormat="1" ht="14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10"/>
      <c r="Q63"/>
      <c r="R63"/>
      <c r="S63"/>
      <c r="T63"/>
      <c r="U63"/>
      <c r="V63"/>
      <c r="W63"/>
      <c r="X63"/>
      <c r="Y63" s="10"/>
      <c r="Z63" s="10"/>
      <c r="AA63" s="10"/>
      <c r="AB63" s="10"/>
      <c r="AC63" s="10"/>
      <c r="AD63" s="10"/>
      <c r="AE63" s="10"/>
    </row>
    <row r="64" spans="1:31" s="11" customFormat="1" ht="14.25">
      <c r="A64"/>
      <c r="B64"/>
      <c r="C64"/>
      <c r="P64" s="10"/>
      <c r="Q64"/>
      <c r="R64"/>
      <c r="S64"/>
      <c r="T64"/>
      <c r="U64"/>
      <c r="V64"/>
      <c r="W64"/>
      <c r="X64"/>
      <c r="Y64" s="10"/>
      <c r="Z64" s="10"/>
      <c r="AA64" s="10"/>
      <c r="AB64" s="10"/>
      <c r="AC64" s="10"/>
      <c r="AD64" s="10"/>
      <c r="AE64" s="10"/>
    </row>
    <row r="65" spans="1:31" s="11" customFormat="1" ht="14.25">
      <c r="A65"/>
      <c r="B65"/>
      <c r="C65"/>
      <c r="P65" s="10"/>
      <c r="Q65" s="21"/>
      <c r="R65" s="22"/>
      <c r="S65" s="22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s="11" customFormat="1" ht="14.25">
      <c r="A66"/>
      <c r="B66"/>
      <c r="C66"/>
      <c r="P66" s="10"/>
      <c r="Q66" s="21"/>
      <c r="R66" s="22"/>
      <c r="S66" s="22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s="11" customFormat="1" ht="14.25">
      <c r="A67"/>
      <c r="B67"/>
      <c r="C67"/>
      <c r="P67" s="10"/>
      <c r="Q67" s="21"/>
      <c r="R67" s="22"/>
      <c r="S67" s="22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s="11" customFormat="1" ht="14.25">
      <c r="P68" s="10"/>
      <c r="Q68" s="21"/>
      <c r="R68" s="22"/>
      <c r="S68" s="22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>
      <c r="P69" s="14"/>
      <c r="Q69" s="17"/>
      <c r="R69" s="18"/>
      <c r="S69" s="18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>
      <c r="P70" s="14"/>
      <c r="Q70" s="17"/>
      <c r="R70" s="18"/>
      <c r="S70" s="18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>
      <c r="P71" s="14"/>
      <c r="Q71" s="17"/>
      <c r="R71" s="18"/>
      <c r="S71" s="18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>
      <c r="P72" s="14"/>
      <c r="Q72" s="17"/>
      <c r="R72" s="18"/>
      <c r="S72" s="1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>
      <c r="P73" s="14"/>
      <c r="Q73" s="17"/>
      <c r="R73" s="18"/>
      <c r="S73" s="1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>
      <c r="P74" s="14"/>
      <c r="Q74" s="17"/>
      <c r="R74" s="18"/>
      <c r="S74" s="1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>
      <c r="P75" s="14"/>
      <c r="Q75" s="17"/>
      <c r="R75" s="18"/>
      <c r="S75" s="18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>
      <c r="P76" s="14"/>
      <c r="Q76" s="17"/>
      <c r="R76" s="18"/>
      <c r="S76" s="18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>
      <c r="P77" s="14"/>
      <c r="Q77" s="17"/>
      <c r="R77" s="18"/>
      <c r="S77" s="18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>
      <c r="P78" s="14"/>
      <c r="Q78" s="17"/>
      <c r="R78" s="18"/>
      <c r="S78" s="18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>
      <c r="P79" s="14"/>
      <c r="Q79" s="17"/>
      <c r="R79" s="18"/>
      <c r="S79" s="18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>
      <c r="P80" s="14"/>
      <c r="Q80" s="17"/>
      <c r="R80" s="18"/>
      <c r="S80" s="18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7"/>
      <c r="R81" s="18"/>
      <c r="S81" s="1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7"/>
      <c r="R82" s="18"/>
      <c r="S82" s="18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7"/>
      <c r="R83" s="18"/>
      <c r="S83" s="18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7"/>
      <c r="R84" s="18"/>
      <c r="S84" s="18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7"/>
      <c r="R85" s="18"/>
      <c r="S85" s="18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7"/>
      <c r="R86" s="18"/>
      <c r="S86" s="18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7"/>
      <c r="R87" s="18"/>
      <c r="S87" s="18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7"/>
      <c r="R88" s="18"/>
      <c r="S88" s="18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7"/>
      <c r="R89" s="18"/>
      <c r="S89" s="18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7"/>
      <c r="R90" s="18"/>
      <c r="S90" s="18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7"/>
      <c r="R91" s="18"/>
      <c r="S91" s="18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7"/>
      <c r="R92" s="18"/>
      <c r="S92" s="18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7"/>
      <c r="R93" s="18"/>
      <c r="S93" s="18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7"/>
      <c r="R94" s="18"/>
      <c r="S94" s="18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7"/>
      <c r="R95" s="18"/>
      <c r="S95" s="18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7"/>
      <c r="R96" s="18"/>
      <c r="S96" s="18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7"/>
      <c r="R97" s="18"/>
      <c r="S97" s="18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7"/>
      <c r="R98" s="18"/>
      <c r="S98" s="18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7"/>
      <c r="R99" s="18"/>
      <c r="S99" s="18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7"/>
      <c r="R100" s="18"/>
      <c r="S100" s="18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7"/>
      <c r="R101" s="18"/>
      <c r="S101" s="18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7"/>
      <c r="R102" s="18"/>
      <c r="S102" s="18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7"/>
      <c r="R103" s="18"/>
      <c r="S103" s="18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7"/>
      <c r="R104" s="18"/>
      <c r="S104" s="18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7"/>
      <c r="R105" s="18"/>
      <c r="S105" s="18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7"/>
      <c r="R106" s="18"/>
      <c r="S106" s="18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7"/>
      <c r="R107" s="18"/>
      <c r="S107" s="18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7"/>
      <c r="R108" s="18"/>
      <c r="S108" s="18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7"/>
      <c r="R109" s="18"/>
      <c r="S109" s="18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7"/>
      <c r="R110" s="18"/>
      <c r="S110" s="18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7"/>
      <c r="R111" s="18"/>
      <c r="S111" s="18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7"/>
      <c r="R112" s="18"/>
      <c r="S112" s="18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7"/>
      <c r="R113" s="18"/>
      <c r="S113" s="18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7"/>
      <c r="R114" s="18"/>
      <c r="S114" s="18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7"/>
      <c r="R115" s="18"/>
      <c r="S115" s="18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7"/>
      <c r="R116" s="18"/>
      <c r="S116" s="18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7"/>
      <c r="R117" s="18"/>
      <c r="S117" s="18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7"/>
      <c r="R118" s="18"/>
      <c r="S118" s="18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7"/>
      <c r="R119" s="18"/>
      <c r="S119" s="18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7"/>
      <c r="R120" s="18"/>
      <c r="S120" s="18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7"/>
      <c r="R121" s="18"/>
      <c r="S121" s="18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7"/>
      <c r="R122" s="18"/>
      <c r="S122" s="18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7"/>
      <c r="R123" s="18"/>
      <c r="S123" s="18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7"/>
      <c r="R124" s="18"/>
      <c r="S124" s="18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7"/>
      <c r="R125" s="18"/>
      <c r="S125" s="18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7"/>
      <c r="R126" s="18"/>
      <c r="S126" s="18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7"/>
      <c r="R127" s="18"/>
      <c r="S127" s="18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7"/>
      <c r="R128" s="18"/>
      <c r="S128" s="18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7"/>
      <c r="R129" s="18"/>
      <c r="S129" s="18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7"/>
      <c r="R130" s="18"/>
      <c r="S130" s="18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7"/>
      <c r="R131" s="18"/>
      <c r="S131" s="18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7"/>
      <c r="R132" s="18"/>
      <c r="S132" s="18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7"/>
      <c r="R133" s="18"/>
      <c r="S133" s="18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7"/>
      <c r="R134" s="18"/>
      <c r="S134" s="18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7"/>
      <c r="R135" s="18"/>
      <c r="S135" s="18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7"/>
      <c r="R136" s="18"/>
      <c r="S136" s="18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7"/>
      <c r="R137" s="18"/>
      <c r="S137" s="18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7"/>
      <c r="R138" s="18"/>
      <c r="S138" s="18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7"/>
      <c r="R139" s="18"/>
      <c r="S139" s="18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7"/>
      <c r="R140" s="18"/>
      <c r="S140" s="18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7"/>
      <c r="R141" s="18"/>
      <c r="S141" s="18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7"/>
      <c r="R142" s="18"/>
      <c r="S142" s="18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7"/>
      <c r="R143" s="18"/>
      <c r="S143" s="18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7"/>
      <c r="R144" s="18"/>
      <c r="S144" s="18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7"/>
      <c r="R145" s="18"/>
      <c r="S145" s="18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7"/>
      <c r="R146" s="18"/>
      <c r="S146" s="18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7"/>
      <c r="R147" s="18"/>
      <c r="S147" s="18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7"/>
      <c r="R148" s="18"/>
      <c r="S148" s="18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7"/>
      <c r="R149" s="18"/>
      <c r="S149" s="18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7"/>
      <c r="R150" s="18"/>
      <c r="S150" s="18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7"/>
      <c r="R151" s="18"/>
      <c r="S151" s="18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7"/>
      <c r="R152" s="18"/>
      <c r="S152" s="18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7"/>
      <c r="R153" s="18"/>
      <c r="S153" s="18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7"/>
      <c r="R154" s="18"/>
      <c r="S154" s="18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7"/>
      <c r="R155" s="18"/>
      <c r="S155" s="18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7"/>
      <c r="R156" s="18"/>
      <c r="S156" s="18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7"/>
      <c r="R157" s="18"/>
      <c r="S157" s="18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7"/>
      <c r="R158" s="18"/>
      <c r="S158" s="18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7"/>
      <c r="R159" s="18"/>
      <c r="S159" s="18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7"/>
      <c r="R160" s="18"/>
      <c r="S160" s="18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7"/>
      <c r="R161" s="18"/>
      <c r="S161" s="18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7"/>
      <c r="R162" s="18"/>
      <c r="S162" s="18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7"/>
      <c r="R163" s="18"/>
      <c r="S163" s="18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7"/>
      <c r="R164" s="18"/>
      <c r="S164" s="18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7"/>
      <c r="R165" s="18"/>
      <c r="S165" s="18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7"/>
      <c r="R166" s="18"/>
      <c r="S166" s="18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7"/>
      <c r="R167" s="18"/>
      <c r="S167" s="18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7"/>
      <c r="R168" s="18"/>
      <c r="S168" s="18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7"/>
      <c r="R169" s="18"/>
      <c r="S169" s="18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7"/>
      <c r="R170" s="18"/>
      <c r="S170" s="18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7"/>
      <c r="R171" s="18"/>
      <c r="S171" s="18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7"/>
      <c r="R172" s="18"/>
      <c r="S172" s="18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7"/>
      <c r="R173" s="18"/>
      <c r="S173" s="18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6:31">
      <c r="P174" s="14"/>
      <c r="Q174" s="17"/>
      <c r="R174" s="18"/>
      <c r="S174" s="18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6:31">
      <c r="P175" s="14"/>
      <c r="Q175" s="17"/>
      <c r="R175" s="18"/>
      <c r="S175" s="18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6:31">
      <c r="P176" s="14"/>
      <c r="Q176" s="17"/>
      <c r="R176" s="18"/>
      <c r="S176" s="18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6:31">
      <c r="P177" s="14"/>
      <c r="Q177" s="17"/>
      <c r="R177" s="18"/>
      <c r="S177" s="18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6:31">
      <c r="P178" s="14"/>
      <c r="Q178" s="17"/>
      <c r="R178" s="18"/>
      <c r="S178" s="18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6:31">
      <c r="P179" s="14"/>
      <c r="Q179" s="17"/>
      <c r="R179" s="18"/>
      <c r="S179" s="18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6:31">
      <c r="P180" s="14"/>
      <c r="Q180" s="17"/>
      <c r="R180" s="18"/>
      <c r="S180" s="18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6:31">
      <c r="P181" s="14"/>
      <c r="Q181" s="17"/>
      <c r="R181" s="18"/>
      <c r="S181" s="18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6:31">
      <c r="P182" s="14"/>
      <c r="Q182" s="17"/>
      <c r="R182" s="18"/>
      <c r="S182" s="18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6:31">
      <c r="P183" s="14"/>
      <c r="Q183" s="17"/>
      <c r="R183" s="18"/>
      <c r="S183" s="18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6:31">
      <c r="P184" s="14"/>
      <c r="Q184" s="17"/>
      <c r="R184" s="18"/>
      <c r="S184" s="18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6:31">
      <c r="P185" s="14"/>
      <c r="Q185" s="17"/>
      <c r="R185" s="18"/>
      <c r="S185" s="18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6:31">
      <c r="P186" s="14"/>
      <c r="Q186" s="17"/>
      <c r="R186" s="18"/>
      <c r="S186" s="18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6:31">
      <c r="P187" s="14"/>
      <c r="Q187" s="17"/>
      <c r="R187" s="18"/>
      <c r="S187" s="18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6:31">
      <c r="P188" s="14"/>
      <c r="Q188" s="17"/>
      <c r="R188" s="18"/>
      <c r="S188" s="18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6:31">
      <c r="P189" s="14"/>
      <c r="Q189" s="17"/>
      <c r="R189" s="18"/>
      <c r="S189" s="18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6:31">
      <c r="P190" s="14"/>
      <c r="Q190" s="17"/>
      <c r="R190" s="18"/>
      <c r="S190" s="18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6:31">
      <c r="P191" s="14"/>
      <c r="Q191" s="17"/>
      <c r="R191" s="18"/>
      <c r="S191" s="18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6:31">
      <c r="P192" s="14"/>
      <c r="Q192" s="17"/>
      <c r="R192" s="18"/>
      <c r="S192" s="18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6:31">
      <c r="P193" s="14"/>
      <c r="Q193" s="17"/>
      <c r="R193" s="18"/>
      <c r="S193" s="18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6:31">
      <c r="P194" s="14"/>
      <c r="Q194" s="17"/>
      <c r="R194" s="18"/>
      <c r="S194" s="18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6:31">
      <c r="P195" s="14"/>
      <c r="Q195" s="17"/>
      <c r="R195" s="18"/>
      <c r="S195" s="18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6:31">
      <c r="P196" s="14"/>
      <c r="Q196" s="17"/>
      <c r="R196" s="18"/>
      <c r="S196" s="18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6:31">
      <c r="P197" s="14"/>
      <c r="Q197" s="17"/>
      <c r="R197" s="18"/>
      <c r="S197" s="18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6:31">
      <c r="P198" s="14"/>
      <c r="Q198" s="17"/>
      <c r="R198" s="18"/>
      <c r="S198" s="18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6:31">
      <c r="P199" s="14"/>
      <c r="Q199" s="17"/>
      <c r="R199" s="18"/>
      <c r="S199" s="18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6:31">
      <c r="P200" s="14"/>
      <c r="Q200" s="17"/>
      <c r="R200" s="18"/>
      <c r="S200" s="18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6:31">
      <c r="P201" s="14"/>
      <c r="Q201" s="17"/>
      <c r="R201" s="18"/>
      <c r="S201" s="18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6:31">
      <c r="P202" s="14"/>
      <c r="Q202" s="17"/>
      <c r="R202" s="18"/>
      <c r="S202" s="18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6:31">
      <c r="P203" s="14"/>
      <c r="Q203" s="17"/>
      <c r="R203" s="18"/>
      <c r="S203" s="18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6:31">
      <c r="P204" s="14"/>
      <c r="Q204" s="17"/>
      <c r="R204" s="18"/>
      <c r="S204" s="18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6:31">
      <c r="P205" s="14"/>
      <c r="Q205" s="17"/>
      <c r="R205" s="18"/>
      <c r="S205" s="18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6:31">
      <c r="P206" s="14"/>
      <c r="Q206" s="17"/>
      <c r="R206" s="18"/>
      <c r="S206" s="18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6:31">
      <c r="P207" s="14"/>
      <c r="Q207" s="17"/>
      <c r="R207" s="18"/>
      <c r="S207" s="18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6:31">
      <c r="P208" s="14"/>
      <c r="Q208" s="17"/>
      <c r="R208" s="18"/>
      <c r="S208" s="18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6:31">
      <c r="P209" s="14"/>
      <c r="Q209" s="17"/>
      <c r="R209" s="18"/>
      <c r="S209" s="18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6:31">
      <c r="P210" s="14"/>
      <c r="Q210" s="17"/>
      <c r="R210" s="18"/>
      <c r="S210" s="18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6:31">
      <c r="P211" s="14"/>
      <c r="Q211" s="17"/>
      <c r="R211" s="18"/>
      <c r="S211" s="18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</sheetData>
  <mergeCells count="156">
    <mergeCell ref="B50:E50"/>
    <mergeCell ref="B51:E51"/>
    <mergeCell ref="B52:E52"/>
    <mergeCell ref="B53:E53"/>
    <mergeCell ref="H12:I12"/>
    <mergeCell ref="B45:E45"/>
    <mergeCell ref="B46:E46"/>
    <mergeCell ref="B47:E47"/>
    <mergeCell ref="B48:E48"/>
    <mergeCell ref="B49:E49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11:E11"/>
    <mergeCell ref="B12:E12"/>
    <mergeCell ref="B13:E13"/>
    <mergeCell ref="B14:E14"/>
    <mergeCell ref="B58:E58"/>
    <mergeCell ref="B57:E57"/>
    <mergeCell ref="B56:E56"/>
    <mergeCell ref="B55:E55"/>
    <mergeCell ref="B54:E54"/>
    <mergeCell ref="F59:G59"/>
    <mergeCell ref="H59:I59"/>
    <mergeCell ref="F60:G60"/>
    <mergeCell ref="H60:I60"/>
    <mergeCell ref="B60:E60"/>
    <mergeCell ref="B59:E59"/>
    <mergeCell ref="F56:G56"/>
    <mergeCell ref="H56:I56"/>
    <mergeCell ref="F57:G57"/>
    <mergeCell ref="H57:I57"/>
    <mergeCell ref="H58:I58"/>
    <mergeCell ref="F58:G58"/>
    <mergeCell ref="F53:G53"/>
    <mergeCell ref="H53:I53"/>
    <mergeCell ref="F54:G54"/>
    <mergeCell ref="H54:I54"/>
    <mergeCell ref="F55:G55"/>
    <mergeCell ref="H55:I55"/>
    <mergeCell ref="F50:G50"/>
    <mergeCell ref="H50:I50"/>
    <mergeCell ref="F51:G51"/>
    <mergeCell ref="H51:I51"/>
    <mergeCell ref="F52:G52"/>
    <mergeCell ref="H52:I52"/>
    <mergeCell ref="F47:G47"/>
    <mergeCell ref="H47:I47"/>
    <mergeCell ref="F48:G48"/>
    <mergeCell ref="H48:I48"/>
    <mergeCell ref="F49:G49"/>
    <mergeCell ref="H49:I49"/>
    <mergeCell ref="F44:G44"/>
    <mergeCell ref="H44:I44"/>
    <mergeCell ref="F45:G45"/>
    <mergeCell ref="H45:I45"/>
    <mergeCell ref="F46:G46"/>
    <mergeCell ref="H46:I46"/>
    <mergeCell ref="F41:G41"/>
    <mergeCell ref="H41:I41"/>
    <mergeCell ref="F42:G42"/>
    <mergeCell ref="H42:I42"/>
    <mergeCell ref="F43:G43"/>
    <mergeCell ref="H43:I43"/>
    <mergeCell ref="F38:G38"/>
    <mergeCell ref="H38:I38"/>
    <mergeCell ref="F39:G39"/>
    <mergeCell ref="H39:I39"/>
    <mergeCell ref="F40:G40"/>
    <mergeCell ref="H40:I40"/>
    <mergeCell ref="F35:G35"/>
    <mergeCell ref="H35:I35"/>
    <mergeCell ref="H36:I36"/>
    <mergeCell ref="F37:G37"/>
    <mergeCell ref="H37:I37"/>
    <mergeCell ref="F36:G36"/>
    <mergeCell ref="F32:G32"/>
    <mergeCell ref="H32:I32"/>
    <mergeCell ref="F33:G33"/>
    <mergeCell ref="H33:I33"/>
    <mergeCell ref="F34:G34"/>
    <mergeCell ref="H34:I3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H11:I11"/>
    <mergeCell ref="F11:G11"/>
    <mergeCell ref="F12:G12"/>
    <mergeCell ref="H13:I13"/>
    <mergeCell ref="F13:G13"/>
    <mergeCell ref="A2:I2"/>
    <mergeCell ref="A1:I1"/>
    <mergeCell ref="A8:A10"/>
    <mergeCell ref="B8:E10"/>
    <mergeCell ref="F8:G10"/>
    <mergeCell ref="H8:I10"/>
  </mergeCells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194"/>
  <sheetViews>
    <sheetView zoomScale="90" zoomScaleNormal="90" workbookViewId="0">
      <selection activeCell="C43" sqref="C43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5" bestFit="1" customWidth="1"/>
    <col min="18" max="18" width="10" style="16" bestFit="1" customWidth="1"/>
    <col min="19" max="19" width="11.7109375" style="16" bestFit="1" customWidth="1"/>
    <col min="20" max="16384" width="9.140625" style="4"/>
  </cols>
  <sheetData>
    <row r="1" spans="1:21" s="11" customFormat="1" ht="14.25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21" s="11" customFormat="1" ht="14.25">
      <c r="A2" s="304" t="str">
        <f>Kopsavilkums!C21</f>
        <v>Apdares darbi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21" s="11" customFormat="1" ht="14.25">
      <c r="A3" s="135" t="s">
        <v>158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12"/>
      <c r="R3" s="13"/>
      <c r="S3" s="13"/>
    </row>
    <row r="4" spans="1:21" s="11" customFormat="1" ht="14.25">
      <c r="A4" s="135" t="s">
        <v>159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Q4" s="12"/>
      <c r="R4" s="13"/>
      <c r="S4" s="13"/>
    </row>
    <row r="5" spans="1:21" s="11" customFormat="1" ht="14.25">
      <c r="A5" s="135" t="s">
        <v>160</v>
      </c>
      <c r="B5" s="34"/>
      <c r="C5" s="34"/>
      <c r="D5" s="34"/>
      <c r="E5" s="34"/>
      <c r="F5" s="34"/>
      <c r="G5" s="34"/>
      <c r="H5" s="34"/>
      <c r="I5"/>
      <c r="J5"/>
      <c r="K5"/>
      <c r="L5"/>
      <c r="M5"/>
      <c r="N5"/>
      <c r="O5"/>
      <c r="P5"/>
      <c r="Q5" s="12"/>
      <c r="R5" s="13"/>
      <c r="S5" s="13"/>
    </row>
    <row r="6" spans="1:21" s="11" customFormat="1" ht="14.25">
      <c r="A6" s="135"/>
      <c r="B6" s="34"/>
      <c r="C6" s="34"/>
      <c r="D6" s="34"/>
      <c r="E6" s="34"/>
      <c r="F6" s="34"/>
      <c r="G6" s="34"/>
      <c r="H6" s="34"/>
      <c r="I6"/>
      <c r="J6"/>
      <c r="K6"/>
      <c r="L6"/>
      <c r="M6"/>
      <c r="N6"/>
      <c r="O6"/>
      <c r="P6"/>
      <c r="Q6" s="12"/>
      <c r="R6" s="13"/>
      <c r="S6" s="13"/>
    </row>
    <row r="7" spans="1:21" ht="13.5" thickBot="1">
      <c r="E7" s="14"/>
      <c r="F7" s="14"/>
      <c r="G7" s="14"/>
      <c r="H7" s="14"/>
      <c r="I7"/>
      <c r="J7"/>
      <c r="K7"/>
      <c r="L7"/>
      <c r="M7"/>
      <c r="N7"/>
      <c r="O7"/>
      <c r="P7"/>
    </row>
    <row r="8" spans="1:21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10</v>
      </c>
      <c r="I8" s="283"/>
      <c r="J8"/>
      <c r="K8"/>
      <c r="L8"/>
      <c r="M8"/>
      <c r="N8"/>
      <c r="O8"/>
      <c r="P8"/>
      <c r="Q8"/>
      <c r="R8"/>
      <c r="S8"/>
    </row>
    <row r="9" spans="1:21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P9"/>
      <c r="Q9"/>
      <c r="R9"/>
      <c r="S9"/>
    </row>
    <row r="10" spans="1:21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P10"/>
      <c r="Q10"/>
      <c r="R10"/>
      <c r="S10"/>
    </row>
    <row r="11" spans="1:21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P11"/>
      <c r="Q11"/>
      <c r="R11"/>
      <c r="S11"/>
    </row>
    <row r="12" spans="1:21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P12"/>
      <c r="Q12"/>
      <c r="R12"/>
      <c r="S12"/>
    </row>
    <row r="13" spans="1:21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/>
      <c r="K13"/>
      <c r="L13"/>
      <c r="M13"/>
      <c r="N13"/>
      <c r="O13"/>
      <c r="P13"/>
      <c r="Q13"/>
      <c r="R13"/>
      <c r="S13"/>
    </row>
    <row r="14" spans="1:21" s="176" customFormat="1" ht="13.5" thickTop="1">
      <c r="A14" s="259"/>
      <c r="B14" s="493" t="s">
        <v>334</v>
      </c>
      <c r="C14" s="493"/>
      <c r="D14" s="493"/>
      <c r="E14" s="493"/>
      <c r="F14" s="491"/>
      <c r="G14" s="491"/>
      <c r="H14" s="491"/>
      <c r="I14" s="492"/>
      <c r="J14"/>
      <c r="K14"/>
      <c r="L14"/>
      <c r="M14"/>
      <c r="N14"/>
      <c r="O14"/>
      <c r="P14"/>
      <c r="Q14"/>
      <c r="R14"/>
      <c r="S14"/>
      <c r="T14" s="194"/>
      <c r="U14" s="194"/>
    </row>
    <row r="15" spans="1:21" s="25" customFormat="1">
      <c r="A15" s="236" t="s">
        <v>69</v>
      </c>
      <c r="B15" s="392" t="s">
        <v>320</v>
      </c>
      <c r="C15" s="392"/>
      <c r="D15" s="392"/>
      <c r="E15" s="392"/>
      <c r="F15" s="403" t="s">
        <v>7</v>
      </c>
      <c r="G15" s="403"/>
      <c r="H15" s="367">
        <v>167.03</v>
      </c>
      <c r="I15" s="368"/>
      <c r="J15"/>
      <c r="K15"/>
      <c r="L15"/>
      <c r="M15"/>
      <c r="N15"/>
      <c r="O15"/>
      <c r="P15"/>
      <c r="Q15"/>
      <c r="R15"/>
      <c r="S15"/>
    </row>
    <row r="16" spans="1:21" s="25" customFormat="1">
      <c r="A16" s="252"/>
      <c r="B16" s="387" t="s">
        <v>321</v>
      </c>
      <c r="C16" s="387"/>
      <c r="D16" s="387"/>
      <c r="E16" s="387"/>
      <c r="F16" s="417" t="s">
        <v>322</v>
      </c>
      <c r="G16" s="417"/>
      <c r="H16" s="477">
        <f>H15*2.6/28</f>
        <v>15.509928571428572</v>
      </c>
      <c r="I16" s="478"/>
      <c r="J16"/>
      <c r="K16"/>
      <c r="L16"/>
      <c r="M16"/>
      <c r="N16"/>
      <c r="O16"/>
      <c r="P16"/>
      <c r="Q16"/>
      <c r="R16"/>
      <c r="S16"/>
    </row>
    <row r="17" spans="1:19" s="25" customFormat="1">
      <c r="A17" s="252"/>
      <c r="B17" s="387" t="s">
        <v>323</v>
      </c>
      <c r="C17" s="387"/>
      <c r="D17" s="387"/>
      <c r="E17" s="387"/>
      <c r="F17" s="403" t="s">
        <v>7</v>
      </c>
      <c r="G17" s="403"/>
      <c r="H17" s="367">
        <f>H15*0.08</f>
        <v>13.362400000000001</v>
      </c>
      <c r="I17" s="368"/>
      <c r="J17"/>
      <c r="K17"/>
      <c r="L17"/>
      <c r="M17"/>
      <c r="N17"/>
      <c r="O17"/>
      <c r="P17"/>
      <c r="Q17"/>
      <c r="R17"/>
      <c r="S17"/>
    </row>
    <row r="18" spans="1:19" s="25" customFormat="1">
      <c r="A18" s="236" t="s">
        <v>70</v>
      </c>
      <c r="B18" s="486" t="s">
        <v>324</v>
      </c>
      <c r="C18" s="486"/>
      <c r="D18" s="486"/>
      <c r="E18" s="486"/>
      <c r="F18" s="403" t="s">
        <v>7</v>
      </c>
      <c r="G18" s="403"/>
      <c r="H18" s="473">
        <f>H15</f>
        <v>167.03</v>
      </c>
      <c r="I18" s="474"/>
      <c r="J18"/>
      <c r="K18"/>
      <c r="L18"/>
      <c r="M18"/>
      <c r="N18"/>
      <c r="O18"/>
      <c r="P18"/>
      <c r="Q18"/>
      <c r="R18"/>
      <c r="S18"/>
    </row>
    <row r="19" spans="1:19" s="5" customFormat="1" ht="14.25">
      <c r="A19" s="257"/>
      <c r="B19" s="494" t="s">
        <v>325</v>
      </c>
      <c r="C19" s="494"/>
      <c r="D19" s="494"/>
      <c r="E19" s="494"/>
      <c r="F19" s="450" t="s">
        <v>28</v>
      </c>
      <c r="G19" s="450"/>
      <c r="H19" s="477">
        <f>H18*0.15</f>
        <v>25.054500000000001</v>
      </c>
      <c r="I19" s="478"/>
      <c r="J19"/>
      <c r="K19"/>
      <c r="L19"/>
      <c r="M19"/>
      <c r="N19"/>
      <c r="O19"/>
      <c r="P19"/>
      <c r="Q19"/>
      <c r="R19"/>
      <c r="S19"/>
    </row>
    <row r="20" spans="1:19" s="25" customFormat="1">
      <c r="A20" s="236" t="s">
        <v>72</v>
      </c>
      <c r="B20" s="486" t="s">
        <v>326</v>
      </c>
      <c r="C20" s="486"/>
      <c r="D20" s="486"/>
      <c r="E20" s="486"/>
      <c r="F20" s="403" t="s">
        <v>7</v>
      </c>
      <c r="G20" s="403"/>
      <c r="H20" s="473">
        <f>H18</f>
        <v>167.03</v>
      </c>
      <c r="I20" s="474"/>
      <c r="J20"/>
      <c r="K20"/>
      <c r="L20"/>
      <c r="M20"/>
      <c r="N20"/>
      <c r="O20"/>
      <c r="P20"/>
      <c r="Q20"/>
      <c r="R20"/>
      <c r="S20"/>
    </row>
    <row r="21" spans="1:19" s="5" customFormat="1" ht="14.25">
      <c r="A21" s="252"/>
      <c r="B21" s="494" t="s">
        <v>327</v>
      </c>
      <c r="C21" s="494"/>
      <c r="D21" s="494"/>
      <c r="E21" s="494"/>
      <c r="F21" s="450" t="s">
        <v>28</v>
      </c>
      <c r="G21" s="450"/>
      <c r="H21" s="367">
        <f>H20*0.33</f>
        <v>55.119900000000001</v>
      </c>
      <c r="I21" s="368"/>
      <c r="J21"/>
      <c r="K21"/>
      <c r="L21"/>
      <c r="M21"/>
      <c r="N21"/>
      <c r="O21"/>
      <c r="P21"/>
      <c r="Q21"/>
      <c r="R21"/>
      <c r="S21"/>
    </row>
    <row r="22" spans="1:19" s="5" customFormat="1" ht="14.25">
      <c r="A22" s="252"/>
      <c r="B22" s="494" t="s">
        <v>328</v>
      </c>
      <c r="C22" s="494"/>
      <c r="D22" s="494"/>
      <c r="E22" s="494"/>
      <c r="F22" s="450" t="s">
        <v>28</v>
      </c>
      <c r="G22" s="450"/>
      <c r="H22" s="477">
        <f>H21</f>
        <v>55.119900000000001</v>
      </c>
      <c r="I22" s="478"/>
      <c r="J22"/>
      <c r="K22"/>
      <c r="L22"/>
      <c r="M22"/>
      <c r="N22"/>
      <c r="O22"/>
      <c r="P22"/>
      <c r="Q22"/>
      <c r="R22"/>
      <c r="S22"/>
    </row>
    <row r="23" spans="1:19" s="25" customFormat="1" ht="12" customHeight="1">
      <c r="A23" s="236" t="s">
        <v>73</v>
      </c>
      <c r="B23" s="486" t="s">
        <v>324</v>
      </c>
      <c r="C23" s="486"/>
      <c r="D23" s="486"/>
      <c r="E23" s="486"/>
      <c r="F23" s="403" t="s">
        <v>7</v>
      </c>
      <c r="G23" s="403"/>
      <c r="H23" s="473">
        <v>79.319999999999993</v>
      </c>
      <c r="I23" s="474"/>
      <c r="J23"/>
      <c r="K23"/>
      <c r="L23"/>
      <c r="M23"/>
      <c r="N23"/>
      <c r="O23"/>
      <c r="P23"/>
      <c r="Q23"/>
      <c r="R23"/>
      <c r="S23"/>
    </row>
    <row r="24" spans="1:19" s="5" customFormat="1" ht="12" customHeight="1">
      <c r="A24" s="236"/>
      <c r="B24" s="385" t="s">
        <v>329</v>
      </c>
      <c r="C24" s="385"/>
      <c r="D24" s="385"/>
      <c r="E24" s="385"/>
      <c r="F24" s="450" t="s">
        <v>28</v>
      </c>
      <c r="G24" s="450"/>
      <c r="H24" s="473">
        <f>ROUND(H23*0.3,2)</f>
        <v>23.8</v>
      </c>
      <c r="I24" s="474"/>
      <c r="J24"/>
      <c r="K24"/>
      <c r="L24"/>
      <c r="M24"/>
      <c r="N24"/>
      <c r="O24"/>
      <c r="P24"/>
      <c r="Q24"/>
      <c r="R24"/>
      <c r="S24"/>
    </row>
    <row r="25" spans="1:19" s="144" customFormat="1" ht="12" customHeight="1">
      <c r="A25" s="258" t="s">
        <v>74</v>
      </c>
      <c r="B25" s="486" t="s">
        <v>330</v>
      </c>
      <c r="C25" s="486"/>
      <c r="D25" s="486"/>
      <c r="E25" s="486"/>
      <c r="F25" s="403" t="s">
        <v>7</v>
      </c>
      <c r="G25" s="403"/>
      <c r="H25" s="367">
        <f>H23</f>
        <v>79.319999999999993</v>
      </c>
      <c r="I25" s="368"/>
      <c r="J25"/>
      <c r="K25"/>
      <c r="L25"/>
      <c r="M25"/>
      <c r="N25"/>
      <c r="O25"/>
      <c r="P25"/>
      <c r="Q25"/>
      <c r="R25"/>
      <c r="S25"/>
    </row>
    <row r="26" spans="1:19" s="5" customFormat="1" ht="12" customHeight="1">
      <c r="A26" s="236"/>
      <c r="B26" s="385" t="s">
        <v>331</v>
      </c>
      <c r="C26" s="385"/>
      <c r="D26" s="385"/>
      <c r="E26" s="385"/>
      <c r="F26" s="403" t="s">
        <v>84</v>
      </c>
      <c r="G26" s="403"/>
      <c r="H26" s="367">
        <f>H25*4</f>
        <v>317.27999999999997</v>
      </c>
      <c r="I26" s="368"/>
      <c r="J26"/>
      <c r="K26"/>
      <c r="L26"/>
      <c r="M26"/>
      <c r="N26"/>
      <c r="O26"/>
      <c r="P26"/>
      <c r="Q26"/>
      <c r="R26"/>
      <c r="S26"/>
    </row>
    <row r="27" spans="1:19" s="5" customFormat="1" ht="12" customHeight="1">
      <c r="A27" s="236"/>
      <c r="B27" s="385" t="s">
        <v>332</v>
      </c>
      <c r="C27" s="385"/>
      <c r="D27" s="385"/>
      <c r="E27" s="385"/>
      <c r="F27" s="403" t="s">
        <v>84</v>
      </c>
      <c r="G27" s="403"/>
      <c r="H27" s="367">
        <f>ROUND(H25*0.3,1)</f>
        <v>23.8</v>
      </c>
      <c r="I27" s="368"/>
      <c r="J27"/>
      <c r="K27"/>
      <c r="L27"/>
      <c r="M27"/>
      <c r="N27"/>
      <c r="O27"/>
      <c r="P27"/>
      <c r="Q27"/>
      <c r="R27"/>
      <c r="S27"/>
    </row>
    <row r="28" spans="1:19" s="5" customFormat="1" ht="12" customHeight="1">
      <c r="A28" s="236"/>
      <c r="B28" s="385" t="s">
        <v>333</v>
      </c>
      <c r="C28" s="385"/>
      <c r="D28" s="385"/>
      <c r="E28" s="385"/>
      <c r="F28" s="380" t="s">
        <v>233</v>
      </c>
      <c r="G28" s="380"/>
      <c r="H28" s="367">
        <f>H25*0.1</f>
        <v>7.9319999999999995</v>
      </c>
      <c r="I28" s="368"/>
      <c r="J28"/>
      <c r="K28"/>
      <c r="L28"/>
      <c r="M28"/>
      <c r="N28"/>
      <c r="O28"/>
      <c r="P28"/>
      <c r="Q28"/>
      <c r="R28"/>
      <c r="S28"/>
    </row>
    <row r="29" spans="1:19" s="25" customFormat="1" ht="12" customHeight="1">
      <c r="A29" s="236"/>
      <c r="B29" s="387" t="s">
        <v>613</v>
      </c>
      <c r="C29" s="387"/>
      <c r="D29" s="387"/>
      <c r="E29" s="387"/>
      <c r="F29" s="403" t="s">
        <v>7</v>
      </c>
      <c r="G29" s="403"/>
      <c r="H29" s="367">
        <v>61.44</v>
      </c>
      <c r="I29" s="368"/>
      <c r="J29"/>
      <c r="K29"/>
      <c r="L29"/>
      <c r="M29"/>
      <c r="N29"/>
      <c r="O29"/>
      <c r="P29"/>
      <c r="Q29"/>
      <c r="R29"/>
      <c r="S29"/>
    </row>
    <row r="30" spans="1:19" s="25" customFormat="1" ht="12" customHeight="1">
      <c r="A30" s="236"/>
      <c r="B30" s="387" t="s">
        <v>614</v>
      </c>
      <c r="C30" s="387"/>
      <c r="D30" s="387"/>
      <c r="E30" s="387"/>
      <c r="F30" s="403" t="s">
        <v>7</v>
      </c>
      <c r="G30" s="403"/>
      <c r="H30" s="367">
        <v>5.76</v>
      </c>
      <c r="I30" s="368"/>
      <c r="J30"/>
      <c r="K30"/>
      <c r="L30"/>
      <c r="M30"/>
      <c r="N30"/>
      <c r="O30"/>
      <c r="P30"/>
      <c r="Q30"/>
      <c r="R30"/>
      <c r="S30"/>
    </row>
    <row r="31" spans="1:19" s="25" customFormat="1" ht="12" customHeight="1">
      <c r="A31" s="236"/>
      <c r="B31" s="387" t="s">
        <v>615</v>
      </c>
      <c r="C31" s="387"/>
      <c r="D31" s="387"/>
      <c r="E31" s="387"/>
      <c r="F31" s="403" t="s">
        <v>7</v>
      </c>
      <c r="G31" s="403"/>
      <c r="H31" s="367">
        <v>5.76</v>
      </c>
      <c r="I31" s="368"/>
      <c r="J31"/>
      <c r="K31"/>
      <c r="L31"/>
      <c r="M31"/>
      <c r="N31"/>
      <c r="O31"/>
      <c r="P31"/>
      <c r="Q31"/>
      <c r="R31"/>
      <c r="S31"/>
    </row>
    <row r="32" spans="1:19" s="25" customFormat="1" ht="12" customHeight="1">
      <c r="A32" s="236"/>
      <c r="B32" s="387" t="s">
        <v>617</v>
      </c>
      <c r="C32" s="387"/>
      <c r="D32" s="387"/>
      <c r="E32" s="387"/>
      <c r="F32" s="403" t="s">
        <v>7</v>
      </c>
      <c r="G32" s="403"/>
      <c r="H32" s="367">
        <v>2.88</v>
      </c>
      <c r="I32" s="368"/>
      <c r="J32"/>
      <c r="K32"/>
      <c r="L32"/>
      <c r="M32"/>
      <c r="N32"/>
      <c r="O32"/>
      <c r="P32"/>
      <c r="Q32"/>
      <c r="R32"/>
      <c r="S32"/>
    </row>
    <row r="33" spans="1:63" s="25" customFormat="1" ht="12" customHeight="1">
      <c r="A33" s="236"/>
      <c r="B33" s="387" t="s">
        <v>616</v>
      </c>
      <c r="C33" s="387"/>
      <c r="D33" s="387"/>
      <c r="E33" s="387"/>
      <c r="F33" s="403" t="s">
        <v>7</v>
      </c>
      <c r="G33" s="403"/>
      <c r="H33" s="367">
        <v>4.8</v>
      </c>
      <c r="I33" s="368"/>
      <c r="J33"/>
      <c r="K33"/>
      <c r="L33"/>
      <c r="M33"/>
      <c r="N33"/>
      <c r="O33"/>
      <c r="P33"/>
      <c r="Q33"/>
      <c r="R33"/>
      <c r="S33"/>
    </row>
    <row r="34" spans="1:63" s="176" customFormat="1">
      <c r="A34" s="247"/>
      <c r="B34" s="495" t="s">
        <v>319</v>
      </c>
      <c r="C34" s="495"/>
      <c r="D34" s="495"/>
      <c r="E34" s="495"/>
      <c r="F34" s="473"/>
      <c r="G34" s="473"/>
      <c r="H34" s="473"/>
      <c r="I34" s="474"/>
      <c r="J34"/>
      <c r="K34"/>
      <c r="L34"/>
      <c r="M34"/>
      <c r="N34"/>
      <c r="O34"/>
      <c r="P34"/>
      <c r="Q34"/>
      <c r="R34"/>
      <c r="S34"/>
      <c r="T34" s="194"/>
      <c r="U34" s="194"/>
    </row>
    <row r="35" spans="1:63" s="9" customFormat="1" ht="14.25">
      <c r="A35" s="236" t="s">
        <v>71</v>
      </c>
      <c r="B35" s="392" t="s">
        <v>313</v>
      </c>
      <c r="C35" s="392"/>
      <c r="D35" s="392"/>
      <c r="E35" s="392"/>
      <c r="F35" s="383" t="s">
        <v>7</v>
      </c>
      <c r="G35" s="383"/>
      <c r="H35" s="354">
        <v>23.87</v>
      </c>
      <c r="I35" s="355"/>
      <c r="J35"/>
      <c r="K35"/>
      <c r="L35"/>
      <c r="M35"/>
      <c r="N35"/>
      <c r="O35"/>
      <c r="P35"/>
      <c r="Q35"/>
      <c r="R35"/>
      <c r="S35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</row>
    <row r="36" spans="1:63" s="9" customFormat="1" ht="14.25">
      <c r="A36" s="236"/>
      <c r="B36" s="357" t="s">
        <v>314</v>
      </c>
      <c r="C36" s="357"/>
      <c r="D36" s="357"/>
      <c r="E36" s="357"/>
      <c r="F36" s="451" t="s">
        <v>28</v>
      </c>
      <c r="G36" s="451"/>
      <c r="H36" s="354">
        <f>H35*0.15</f>
        <v>3.5805000000000002</v>
      </c>
      <c r="I36" s="355"/>
      <c r="J36"/>
      <c r="K36"/>
      <c r="L36"/>
      <c r="M36"/>
      <c r="N36"/>
      <c r="O36"/>
      <c r="P36"/>
      <c r="Q36"/>
      <c r="R36"/>
      <c r="S36"/>
    </row>
    <row r="37" spans="1:63" s="9" customFormat="1" ht="14.25">
      <c r="A37" s="236"/>
      <c r="B37" s="357" t="s">
        <v>315</v>
      </c>
      <c r="C37" s="357"/>
      <c r="D37" s="357"/>
      <c r="E37" s="357"/>
      <c r="F37" s="451" t="s">
        <v>84</v>
      </c>
      <c r="G37" s="451"/>
      <c r="H37" s="354">
        <f>H35*2.6</f>
        <v>62.062000000000005</v>
      </c>
      <c r="I37" s="355"/>
      <c r="J37"/>
      <c r="K37"/>
      <c r="L37"/>
      <c r="M37"/>
      <c r="N37"/>
      <c r="O37"/>
      <c r="P37"/>
      <c r="Q37"/>
      <c r="R37"/>
      <c r="S37"/>
    </row>
    <row r="38" spans="1:63" s="9" customFormat="1" ht="14.25">
      <c r="A38" s="236"/>
      <c r="B38" s="407" t="s">
        <v>316</v>
      </c>
      <c r="C38" s="407"/>
      <c r="D38" s="407"/>
      <c r="E38" s="407"/>
      <c r="F38" s="383" t="s">
        <v>7</v>
      </c>
      <c r="G38" s="383"/>
      <c r="H38" s="354">
        <f>0.02*H35</f>
        <v>0.47740000000000005</v>
      </c>
      <c r="I38" s="355"/>
      <c r="J38"/>
      <c r="K38"/>
      <c r="L38"/>
      <c r="M38"/>
      <c r="N38"/>
      <c r="O38"/>
      <c r="P38"/>
      <c r="Q38"/>
      <c r="R38"/>
      <c r="S38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</row>
    <row r="39" spans="1:63" s="9" customFormat="1" ht="14.25">
      <c r="A39" s="236" t="s">
        <v>265</v>
      </c>
      <c r="B39" s="463" t="s">
        <v>317</v>
      </c>
      <c r="C39" s="463"/>
      <c r="D39" s="463"/>
      <c r="E39" s="463"/>
      <c r="F39" s="383" t="s">
        <v>7</v>
      </c>
      <c r="G39" s="383"/>
      <c r="H39" s="354">
        <f>H35</f>
        <v>23.87</v>
      </c>
      <c r="I39" s="355"/>
      <c r="J39"/>
      <c r="K39"/>
      <c r="L39"/>
      <c r="M39"/>
      <c r="N39"/>
      <c r="O39"/>
      <c r="P39"/>
      <c r="Q39"/>
      <c r="R39"/>
      <c r="S39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</row>
    <row r="40" spans="1:63" s="9" customFormat="1" ht="14.25">
      <c r="A40" s="236"/>
      <c r="B40" s="357" t="s">
        <v>314</v>
      </c>
      <c r="C40" s="357"/>
      <c r="D40" s="357"/>
      <c r="E40" s="357"/>
      <c r="F40" s="451" t="s">
        <v>28</v>
      </c>
      <c r="G40" s="451"/>
      <c r="H40" s="354">
        <f>H39*0.15</f>
        <v>3.5805000000000002</v>
      </c>
      <c r="I40" s="355"/>
      <c r="J40"/>
      <c r="K40"/>
      <c r="L40"/>
      <c r="M40"/>
      <c r="N40"/>
      <c r="O40"/>
      <c r="P40"/>
      <c r="Q40"/>
      <c r="R40"/>
      <c r="S40"/>
    </row>
    <row r="41" spans="1:63" s="9" customFormat="1" ht="14.25">
      <c r="A41" s="236"/>
      <c r="B41" s="357" t="s">
        <v>318</v>
      </c>
      <c r="C41" s="357"/>
      <c r="D41" s="357"/>
      <c r="E41" s="357"/>
      <c r="F41" s="451" t="s">
        <v>84</v>
      </c>
      <c r="G41" s="451"/>
      <c r="H41" s="354">
        <f>H39*0.25</f>
        <v>5.9675000000000002</v>
      </c>
      <c r="I41" s="355"/>
      <c r="J41"/>
      <c r="K41"/>
      <c r="L41"/>
      <c r="M41"/>
      <c r="N41"/>
      <c r="O41"/>
      <c r="P41"/>
      <c r="Q41"/>
      <c r="R41"/>
      <c r="S41"/>
    </row>
    <row r="42" spans="1:63" s="10" customFormat="1" ht="24" customHeight="1" thickBot="1">
      <c r="A42" s="234">
        <v>3</v>
      </c>
      <c r="B42" s="297" t="s">
        <v>32</v>
      </c>
      <c r="C42" s="297"/>
      <c r="D42" s="297"/>
      <c r="E42" s="297"/>
      <c r="F42" s="296" t="s">
        <v>23</v>
      </c>
      <c r="G42" s="296"/>
      <c r="H42" s="427">
        <v>1</v>
      </c>
      <c r="I42" s="428"/>
      <c r="J42"/>
      <c r="K42"/>
      <c r="L42"/>
      <c r="M42"/>
      <c r="N42"/>
      <c r="O42"/>
      <c r="P42"/>
      <c r="Q42"/>
      <c r="R42"/>
      <c r="S42"/>
    </row>
    <row r="43" spans="1:63" s="11" customFormat="1" ht="14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63" s="11" customFormat="1" ht="14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63" s="11" customFormat="1" ht="14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63" s="11" customFormat="1" ht="14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63" s="11" customFormat="1" ht="14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63" s="11" customFormat="1" ht="14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s="11" customFormat="1" ht="14.25">
      <c r="A49"/>
      <c r="B49"/>
      <c r="C49"/>
      <c r="D49"/>
      <c r="E49"/>
      <c r="P49" s="10"/>
      <c r="Q49" s="21"/>
      <c r="R49" s="22"/>
      <c r="S49" s="22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s="11" customFormat="1" ht="14.25">
      <c r="A50"/>
      <c r="B50"/>
      <c r="C50"/>
      <c r="D50"/>
      <c r="E50"/>
      <c r="P50" s="10"/>
      <c r="Q50" s="21"/>
      <c r="R50" s="22"/>
      <c r="S50" s="22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s="11" customFormat="1" ht="14.25">
      <c r="A51"/>
      <c r="B51"/>
      <c r="C51"/>
      <c r="D51"/>
      <c r="E51"/>
      <c r="P51" s="10"/>
      <c r="Q51" s="21"/>
      <c r="R51" s="22"/>
      <c r="S51" s="22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>
      <c r="A52"/>
      <c r="B52"/>
      <c r="C52"/>
      <c r="D52"/>
      <c r="E52"/>
      <c r="P52" s="14"/>
      <c r="Q52" s="17"/>
      <c r="R52" s="18"/>
      <c r="S52" s="18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>
      <c r="A53"/>
      <c r="B53"/>
      <c r="C53"/>
      <c r="D53"/>
      <c r="E53"/>
      <c r="P53" s="14"/>
      <c r="Q53" s="17"/>
      <c r="R53" s="18"/>
      <c r="S53" s="18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/>
      <c r="B54"/>
      <c r="C54"/>
      <c r="D54"/>
      <c r="E54"/>
      <c r="P54" s="14"/>
      <c r="Q54" s="17"/>
      <c r="R54" s="18"/>
      <c r="S54" s="18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>
      <c r="A55"/>
      <c r="B55"/>
      <c r="C55"/>
      <c r="D55"/>
      <c r="E55"/>
      <c r="P55" s="14"/>
      <c r="Q55" s="17"/>
      <c r="R55" s="18"/>
      <c r="S55" s="18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>
      <c r="A56"/>
      <c r="B56"/>
      <c r="C56"/>
      <c r="D56"/>
      <c r="E56"/>
      <c r="P56" s="14"/>
      <c r="Q56" s="17"/>
      <c r="R56" s="18"/>
      <c r="S56" s="18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>
      <c r="P57" s="14"/>
      <c r="Q57" s="17"/>
      <c r="R57" s="18"/>
      <c r="S57" s="18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>
      <c r="P58" s="14"/>
      <c r="Q58" s="17"/>
      <c r="R58" s="18"/>
      <c r="S58" s="18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>
      <c r="P59" s="14"/>
      <c r="Q59" s="17"/>
      <c r="R59" s="18"/>
      <c r="S59" s="18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>
      <c r="P60" s="14"/>
      <c r="Q60" s="17"/>
      <c r="R60" s="18"/>
      <c r="S60" s="18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>
      <c r="P61" s="14"/>
      <c r="Q61" s="17"/>
      <c r="R61" s="18"/>
      <c r="S61" s="18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>
      <c r="P62" s="14"/>
      <c r="Q62" s="17"/>
      <c r="R62" s="18"/>
      <c r="S62" s="18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>
      <c r="P63" s="14"/>
      <c r="Q63" s="17"/>
      <c r="R63" s="18"/>
      <c r="S63" s="18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>
      <c r="P64" s="14"/>
      <c r="Q64" s="17"/>
      <c r="R64" s="18"/>
      <c r="S64" s="18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6:31">
      <c r="P65" s="14"/>
      <c r="Q65" s="17"/>
      <c r="R65" s="18"/>
      <c r="S65" s="18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6:31">
      <c r="P66" s="14"/>
      <c r="Q66" s="17"/>
      <c r="R66" s="18"/>
      <c r="S66" s="18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6:31">
      <c r="P67" s="14"/>
      <c r="Q67" s="17"/>
      <c r="R67" s="18"/>
      <c r="S67" s="18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6:31">
      <c r="P68" s="14"/>
      <c r="Q68" s="17"/>
      <c r="R68" s="18"/>
      <c r="S68" s="18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6:31">
      <c r="P69" s="14"/>
      <c r="Q69" s="17"/>
      <c r="R69" s="18"/>
      <c r="S69" s="18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6:31">
      <c r="P70" s="14"/>
      <c r="Q70" s="17"/>
      <c r="R70" s="18"/>
      <c r="S70" s="18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6:31">
      <c r="P71" s="14"/>
      <c r="Q71" s="17"/>
      <c r="R71" s="18"/>
      <c r="S71" s="18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6:31">
      <c r="P72" s="14"/>
      <c r="Q72" s="17"/>
      <c r="R72" s="18"/>
      <c r="S72" s="1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6:31">
      <c r="P73" s="14"/>
      <c r="Q73" s="17"/>
      <c r="R73" s="18"/>
      <c r="S73" s="1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6:31">
      <c r="P74" s="14"/>
      <c r="Q74" s="17"/>
      <c r="R74" s="18"/>
      <c r="S74" s="1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6:31">
      <c r="P75" s="14"/>
      <c r="Q75" s="17"/>
      <c r="R75" s="18"/>
      <c r="S75" s="18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6:31">
      <c r="P76" s="14"/>
      <c r="Q76" s="17"/>
      <c r="R76" s="18"/>
      <c r="S76" s="18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6:31">
      <c r="P77" s="14"/>
      <c r="Q77" s="17"/>
      <c r="R77" s="18"/>
      <c r="S77" s="18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6:31">
      <c r="P78" s="14"/>
      <c r="Q78" s="17"/>
      <c r="R78" s="18"/>
      <c r="S78" s="18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6:31">
      <c r="P79" s="14"/>
      <c r="Q79" s="17"/>
      <c r="R79" s="18"/>
      <c r="S79" s="18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6:31">
      <c r="P80" s="14"/>
      <c r="Q80" s="17"/>
      <c r="R80" s="18"/>
      <c r="S80" s="18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7"/>
      <c r="R81" s="18"/>
      <c r="S81" s="1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7"/>
      <c r="R82" s="18"/>
      <c r="S82" s="18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7"/>
      <c r="R83" s="18"/>
      <c r="S83" s="18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7"/>
      <c r="R84" s="18"/>
      <c r="S84" s="18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7"/>
      <c r="R85" s="18"/>
      <c r="S85" s="18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7"/>
      <c r="R86" s="18"/>
      <c r="S86" s="18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7"/>
      <c r="R87" s="18"/>
      <c r="S87" s="18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7"/>
      <c r="R88" s="18"/>
      <c r="S88" s="18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7"/>
      <c r="R89" s="18"/>
      <c r="S89" s="18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7"/>
      <c r="R90" s="18"/>
      <c r="S90" s="18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7"/>
      <c r="R91" s="18"/>
      <c r="S91" s="18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7"/>
      <c r="R92" s="18"/>
      <c r="S92" s="18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7"/>
      <c r="R93" s="18"/>
      <c r="S93" s="18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7"/>
      <c r="R94" s="18"/>
      <c r="S94" s="18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7"/>
      <c r="R95" s="18"/>
      <c r="S95" s="18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7"/>
      <c r="R96" s="18"/>
      <c r="S96" s="18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7"/>
      <c r="R97" s="18"/>
      <c r="S97" s="18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7"/>
      <c r="R98" s="18"/>
      <c r="S98" s="18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7"/>
      <c r="R99" s="18"/>
      <c r="S99" s="18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7"/>
      <c r="R100" s="18"/>
      <c r="S100" s="18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7"/>
      <c r="R101" s="18"/>
      <c r="S101" s="18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7"/>
      <c r="R102" s="18"/>
      <c r="S102" s="18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7"/>
      <c r="R103" s="18"/>
      <c r="S103" s="18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7"/>
      <c r="R104" s="18"/>
      <c r="S104" s="18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7"/>
      <c r="R105" s="18"/>
      <c r="S105" s="18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7"/>
      <c r="R106" s="18"/>
      <c r="S106" s="18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7"/>
      <c r="R107" s="18"/>
      <c r="S107" s="18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7"/>
      <c r="R108" s="18"/>
      <c r="S108" s="18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7"/>
      <c r="R109" s="18"/>
      <c r="S109" s="18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7"/>
      <c r="R110" s="18"/>
      <c r="S110" s="18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7"/>
      <c r="R111" s="18"/>
      <c r="S111" s="18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7"/>
      <c r="R112" s="18"/>
      <c r="S112" s="18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7"/>
      <c r="R113" s="18"/>
      <c r="S113" s="18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7"/>
      <c r="R114" s="18"/>
      <c r="S114" s="18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7"/>
      <c r="R115" s="18"/>
      <c r="S115" s="18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7"/>
      <c r="R116" s="18"/>
      <c r="S116" s="18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7"/>
      <c r="R117" s="18"/>
      <c r="S117" s="18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7"/>
      <c r="R118" s="18"/>
      <c r="S118" s="18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7"/>
      <c r="R119" s="18"/>
      <c r="S119" s="18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7"/>
      <c r="R120" s="18"/>
      <c r="S120" s="18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7"/>
      <c r="R121" s="18"/>
      <c r="S121" s="18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7"/>
      <c r="R122" s="18"/>
      <c r="S122" s="18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7"/>
      <c r="R123" s="18"/>
      <c r="S123" s="18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7"/>
      <c r="R124" s="18"/>
      <c r="S124" s="18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7"/>
      <c r="R125" s="18"/>
      <c r="S125" s="18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7"/>
      <c r="R126" s="18"/>
      <c r="S126" s="18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7"/>
      <c r="R127" s="18"/>
      <c r="S127" s="18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7"/>
      <c r="R128" s="18"/>
      <c r="S128" s="18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7"/>
      <c r="R129" s="18"/>
      <c r="S129" s="18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7"/>
      <c r="R130" s="18"/>
      <c r="S130" s="18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7"/>
      <c r="R131" s="18"/>
      <c r="S131" s="18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7"/>
      <c r="R132" s="18"/>
      <c r="S132" s="18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7"/>
      <c r="R133" s="18"/>
      <c r="S133" s="18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7"/>
      <c r="R134" s="18"/>
      <c r="S134" s="18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7"/>
      <c r="R135" s="18"/>
      <c r="S135" s="18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7"/>
      <c r="R136" s="18"/>
      <c r="S136" s="18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7"/>
      <c r="R137" s="18"/>
      <c r="S137" s="18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7"/>
      <c r="R138" s="18"/>
      <c r="S138" s="18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7"/>
      <c r="R139" s="18"/>
      <c r="S139" s="18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7"/>
      <c r="R140" s="18"/>
      <c r="S140" s="18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7"/>
      <c r="R141" s="18"/>
      <c r="S141" s="18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7"/>
      <c r="R142" s="18"/>
      <c r="S142" s="18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7"/>
      <c r="R143" s="18"/>
      <c r="S143" s="18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7"/>
      <c r="R144" s="18"/>
      <c r="S144" s="18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7"/>
      <c r="R145" s="18"/>
      <c r="S145" s="18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7"/>
      <c r="R146" s="18"/>
      <c r="S146" s="18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7"/>
      <c r="R147" s="18"/>
      <c r="S147" s="18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7"/>
      <c r="R148" s="18"/>
      <c r="S148" s="18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7"/>
      <c r="R149" s="18"/>
      <c r="S149" s="18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7"/>
      <c r="R150" s="18"/>
      <c r="S150" s="18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7"/>
      <c r="R151" s="18"/>
      <c r="S151" s="18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7"/>
      <c r="R152" s="18"/>
      <c r="S152" s="18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7"/>
      <c r="R153" s="18"/>
      <c r="S153" s="18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7"/>
      <c r="R154" s="18"/>
      <c r="S154" s="18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7"/>
      <c r="R155" s="18"/>
      <c r="S155" s="18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7"/>
      <c r="R156" s="18"/>
      <c r="S156" s="18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7"/>
      <c r="R157" s="18"/>
      <c r="S157" s="18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7"/>
      <c r="R158" s="18"/>
      <c r="S158" s="18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7"/>
      <c r="R159" s="18"/>
      <c r="S159" s="18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7"/>
      <c r="R160" s="18"/>
      <c r="S160" s="18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7"/>
      <c r="R161" s="18"/>
      <c r="S161" s="18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7"/>
      <c r="R162" s="18"/>
      <c r="S162" s="18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7"/>
      <c r="R163" s="18"/>
      <c r="S163" s="18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7"/>
      <c r="R164" s="18"/>
      <c r="S164" s="18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7"/>
      <c r="R165" s="18"/>
      <c r="S165" s="18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7"/>
      <c r="R166" s="18"/>
      <c r="S166" s="18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7"/>
      <c r="R167" s="18"/>
      <c r="S167" s="18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7"/>
      <c r="R168" s="18"/>
      <c r="S168" s="18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7"/>
      <c r="R169" s="18"/>
      <c r="S169" s="18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7"/>
      <c r="R170" s="18"/>
      <c r="S170" s="18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7"/>
      <c r="R171" s="18"/>
      <c r="S171" s="18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7"/>
      <c r="R172" s="18"/>
      <c r="S172" s="18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7"/>
      <c r="R173" s="18"/>
      <c r="S173" s="18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6:31">
      <c r="P174" s="14"/>
      <c r="Q174" s="17"/>
      <c r="R174" s="18"/>
      <c r="S174" s="18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6:31">
      <c r="P175" s="14"/>
      <c r="Q175" s="17"/>
      <c r="R175" s="18"/>
      <c r="S175" s="18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6:31">
      <c r="P176" s="14"/>
      <c r="Q176" s="17"/>
      <c r="R176" s="18"/>
      <c r="S176" s="18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6:31">
      <c r="P177" s="14"/>
      <c r="Q177" s="17"/>
      <c r="R177" s="18"/>
      <c r="S177" s="18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6:31">
      <c r="P178" s="14"/>
      <c r="Q178" s="17"/>
      <c r="R178" s="18"/>
      <c r="S178" s="18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6:31">
      <c r="P179" s="14"/>
      <c r="Q179" s="17"/>
      <c r="R179" s="18"/>
      <c r="S179" s="18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6:31">
      <c r="P180" s="14"/>
      <c r="Q180" s="17"/>
      <c r="R180" s="18"/>
      <c r="S180" s="18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6:31">
      <c r="P181" s="14"/>
      <c r="Q181" s="17"/>
      <c r="R181" s="18"/>
      <c r="S181" s="18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6:31">
      <c r="P182" s="14"/>
      <c r="Q182" s="17"/>
      <c r="R182" s="18"/>
      <c r="S182" s="18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6:31">
      <c r="P183" s="14"/>
      <c r="Q183" s="17"/>
      <c r="R183" s="18"/>
      <c r="S183" s="18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6:31">
      <c r="P184" s="14"/>
      <c r="Q184" s="17"/>
      <c r="R184" s="18"/>
      <c r="S184" s="18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6:31">
      <c r="P185" s="14"/>
      <c r="Q185" s="17"/>
      <c r="R185" s="18"/>
      <c r="S185" s="18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6:31">
      <c r="P186" s="14"/>
      <c r="Q186" s="17"/>
      <c r="R186" s="18"/>
      <c r="S186" s="18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6:31">
      <c r="P187" s="14"/>
      <c r="Q187" s="17"/>
      <c r="R187" s="18"/>
      <c r="S187" s="18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6:31">
      <c r="P188" s="14"/>
      <c r="Q188" s="17"/>
      <c r="R188" s="18"/>
      <c r="S188" s="18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6:31">
      <c r="P189" s="14"/>
      <c r="Q189" s="17"/>
      <c r="R189" s="18"/>
      <c r="S189" s="18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6:31">
      <c r="P190" s="14"/>
      <c r="Q190" s="17"/>
      <c r="R190" s="18"/>
      <c r="S190" s="18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6:31">
      <c r="P191" s="14"/>
      <c r="Q191" s="17"/>
      <c r="R191" s="18"/>
      <c r="S191" s="18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6:31">
      <c r="P192" s="14"/>
      <c r="Q192" s="17"/>
      <c r="R192" s="18"/>
      <c r="S192" s="18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6:31">
      <c r="P193" s="14"/>
      <c r="Q193" s="17"/>
      <c r="R193" s="18"/>
      <c r="S193" s="18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6:31">
      <c r="P194" s="14"/>
      <c r="Q194" s="17"/>
      <c r="R194" s="18"/>
      <c r="S194" s="18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</sheetData>
  <mergeCells count="96">
    <mergeCell ref="B39:E39"/>
    <mergeCell ref="B40:E40"/>
    <mergeCell ref="B41:E41"/>
    <mergeCell ref="B42:E42"/>
    <mergeCell ref="B34:E34"/>
    <mergeCell ref="B35:E35"/>
    <mergeCell ref="B36:E36"/>
    <mergeCell ref="B37:E37"/>
    <mergeCell ref="B38:E38"/>
    <mergeCell ref="B29:E29"/>
    <mergeCell ref="B30:E30"/>
    <mergeCell ref="B31:E31"/>
    <mergeCell ref="B32:E32"/>
    <mergeCell ref="B33:E33"/>
    <mergeCell ref="B24:E24"/>
    <mergeCell ref="B25:E25"/>
    <mergeCell ref="B26:E26"/>
    <mergeCell ref="B27:E27"/>
    <mergeCell ref="B28:E28"/>
    <mergeCell ref="F40:G40"/>
    <mergeCell ref="F41:G41"/>
    <mergeCell ref="F42:G42"/>
    <mergeCell ref="B8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H40:I40"/>
    <mergeCell ref="H41:I41"/>
    <mergeCell ref="H42:I42"/>
    <mergeCell ref="F8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A1:I1"/>
    <mergeCell ref="A2:I2"/>
    <mergeCell ref="H8:I12"/>
    <mergeCell ref="H13:I13"/>
    <mergeCell ref="H14:I14"/>
    <mergeCell ref="A8:A12"/>
  </mergeCells>
  <conditionalFormatting sqref="F34">
    <cfRule type="cellIs" dxfId="21" priority="19" stopIfTrue="1" operator="equal">
      <formula>0</formula>
    </cfRule>
    <cfRule type="expression" dxfId="20" priority="20" stopIfTrue="1">
      <formula>#DIV/0!</formula>
    </cfRule>
  </conditionalFormatting>
  <conditionalFormatting sqref="F37">
    <cfRule type="cellIs" dxfId="19" priority="17" stopIfTrue="1" operator="equal">
      <formula>0</formula>
    </cfRule>
    <cfRule type="expression" dxfId="18" priority="18" stopIfTrue="1">
      <formula>#DIV/0!</formula>
    </cfRule>
  </conditionalFormatting>
  <conditionalFormatting sqref="F41">
    <cfRule type="cellIs" dxfId="17" priority="15" stopIfTrue="1" operator="equal">
      <formula>0</formula>
    </cfRule>
    <cfRule type="expression" dxfId="16" priority="16" stopIfTrue="1">
      <formula>#DIV/0!</formula>
    </cfRule>
  </conditionalFormatting>
  <conditionalFormatting sqref="F40">
    <cfRule type="cellIs" dxfId="15" priority="11" stopIfTrue="1" operator="equal">
      <formula>0</formula>
    </cfRule>
    <cfRule type="expression" dxfId="14" priority="12" stopIfTrue="1">
      <formula>#DIV/0!</formula>
    </cfRule>
  </conditionalFormatting>
  <conditionalFormatting sqref="F36">
    <cfRule type="cellIs" dxfId="13" priority="13" stopIfTrue="1" operator="equal">
      <formula>0</formula>
    </cfRule>
    <cfRule type="expression" dxfId="12" priority="14" stopIfTrue="1">
      <formula>#DIV/0!</formula>
    </cfRule>
  </conditionalFormatting>
  <conditionalFormatting sqref="F14">
    <cfRule type="cellIs" dxfId="11" priority="9" stopIfTrue="1" operator="equal">
      <formula>0</formula>
    </cfRule>
    <cfRule type="expression" dxfId="10" priority="10" stopIfTrue="1">
      <formula>#DIV/0!</formula>
    </cfRule>
  </conditionalFormatting>
  <conditionalFormatting sqref="F24">
    <cfRule type="cellIs" dxfId="9" priority="3" stopIfTrue="1" operator="equal">
      <formula>0</formula>
    </cfRule>
    <cfRule type="expression" dxfId="8" priority="4" stopIfTrue="1">
      <formula>#DIV/0!</formula>
    </cfRule>
  </conditionalFormatting>
  <conditionalFormatting sqref="F26:F28">
    <cfRule type="cellIs" dxfId="7" priority="1" stopIfTrue="1" operator="equal">
      <formula>0</formula>
    </cfRule>
    <cfRule type="expression" dxfId="6" priority="2" stopIfTrue="1">
      <formula>#DIV/0!</formula>
    </cfRule>
  </conditionalFormatting>
  <conditionalFormatting sqref="F25 F29:F33">
    <cfRule type="cellIs" dxfId="5" priority="7" stopIfTrue="1" operator="equal">
      <formula>0</formula>
    </cfRule>
    <cfRule type="expression" dxfId="4" priority="8" stopIfTrue="1">
      <formula>#DIV/0!</formula>
    </cfRule>
  </conditionalFormatting>
  <conditionalFormatting sqref="F23">
    <cfRule type="cellIs" dxfId="3" priority="5" stopIfTrue="1" operator="equal">
      <formula>0</formula>
    </cfRule>
    <cfRule type="expression" dxfId="2" priority="6" stopIfTrue="1">
      <formula>#DIV/0!</formula>
    </cfRule>
  </conditionalFormatting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183"/>
  <sheetViews>
    <sheetView zoomScale="115" zoomScaleNormal="115" workbookViewId="0">
      <selection activeCell="H26" sqref="H26:I26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29" bestFit="1" customWidth="1"/>
    <col min="18" max="18" width="10" style="4" bestFit="1" customWidth="1"/>
    <col min="19" max="19" width="11.7109375" style="4" bestFit="1" customWidth="1"/>
    <col min="20" max="16384" width="9.140625" style="4"/>
  </cols>
  <sheetData>
    <row r="1" spans="1:63" s="11" customFormat="1" ht="14.25">
      <c r="A1" s="305" t="s">
        <v>93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95"/>
    </row>
    <row r="2" spans="1:63" s="11" customFormat="1" ht="14.25">
      <c r="A2" s="304" t="str">
        <f>Kopsavilkums!C22</f>
        <v>Speciālas darbi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95"/>
    </row>
    <row r="3" spans="1:63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Q3" s="195"/>
    </row>
    <row r="4" spans="1:63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Q4" s="195"/>
    </row>
    <row r="5" spans="1:63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Q5" s="195"/>
    </row>
    <row r="6" spans="1:63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/>
      <c r="K6"/>
      <c r="L6"/>
      <c r="M6"/>
      <c r="N6"/>
      <c r="O6"/>
      <c r="P6"/>
      <c r="Q6"/>
      <c r="R6"/>
      <c r="S6"/>
      <c r="T6"/>
      <c r="U6"/>
      <c r="V6"/>
    </row>
    <row r="7" spans="1:63" ht="13.5" thickBot="1">
      <c r="E7" s="14"/>
      <c r="F7" s="14"/>
      <c r="G7" s="14"/>
      <c r="H7" s="14"/>
      <c r="I7" s="14"/>
      <c r="J7"/>
      <c r="K7"/>
      <c r="L7"/>
      <c r="M7"/>
      <c r="N7"/>
      <c r="O7"/>
      <c r="P7"/>
      <c r="Q7"/>
      <c r="R7"/>
      <c r="S7"/>
      <c r="T7"/>
      <c r="U7"/>
      <c r="V7"/>
    </row>
    <row r="8" spans="1:63" s="14" customForma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622</v>
      </c>
      <c r="I8" s="283"/>
      <c r="J8"/>
      <c r="K8"/>
      <c r="L8"/>
      <c r="M8"/>
      <c r="N8"/>
      <c r="O8"/>
      <c r="P8"/>
      <c r="Q8"/>
      <c r="R8"/>
      <c r="S8"/>
      <c r="T8"/>
      <c r="U8"/>
      <c r="V8"/>
    </row>
    <row r="9" spans="1:63" s="14" customForma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P9"/>
      <c r="Q9"/>
      <c r="R9"/>
      <c r="S9"/>
      <c r="T9"/>
      <c r="U9"/>
      <c r="V9"/>
    </row>
    <row r="10" spans="1:63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63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63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63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63" s="25" customFormat="1" ht="13.5" thickTop="1">
      <c r="A14" s="259"/>
      <c r="B14" s="493" t="s">
        <v>347</v>
      </c>
      <c r="C14" s="493"/>
      <c r="D14" s="493"/>
      <c r="E14" s="493"/>
      <c r="F14" s="491"/>
      <c r="G14" s="491"/>
      <c r="H14" s="491"/>
      <c r="I14" s="492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63" s="9" customFormat="1" ht="14.25">
      <c r="A15" s="242" t="s">
        <v>69</v>
      </c>
      <c r="B15" s="302" t="s">
        <v>336</v>
      </c>
      <c r="C15" s="302"/>
      <c r="D15" s="302"/>
      <c r="E15" s="302"/>
      <c r="F15" s="295" t="s">
        <v>31</v>
      </c>
      <c r="G15" s="295"/>
      <c r="H15" s="275">
        <v>28</v>
      </c>
      <c r="I15" s="276"/>
      <c r="J15"/>
      <c r="K15"/>
      <c r="L15"/>
      <c r="M15"/>
      <c r="N15"/>
      <c r="O15"/>
      <c r="P15"/>
      <c r="Q15"/>
      <c r="R15"/>
      <c r="S15"/>
      <c r="T15"/>
      <c r="U15"/>
      <c r="V15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</row>
    <row r="16" spans="1:63" s="9" customFormat="1" ht="14.25">
      <c r="A16" s="242" t="s">
        <v>70</v>
      </c>
      <c r="B16" s="302" t="s">
        <v>337</v>
      </c>
      <c r="C16" s="302"/>
      <c r="D16" s="302"/>
      <c r="E16" s="302"/>
      <c r="F16" s="295" t="s">
        <v>31</v>
      </c>
      <c r="G16" s="295"/>
      <c r="H16" s="275">
        <v>22</v>
      </c>
      <c r="I16" s="276"/>
      <c r="J16"/>
      <c r="K16"/>
      <c r="L16"/>
      <c r="M16"/>
      <c r="N16"/>
      <c r="O16"/>
      <c r="P16"/>
      <c r="Q16"/>
      <c r="R16"/>
      <c r="S16"/>
      <c r="T16"/>
      <c r="U16"/>
      <c r="V1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</row>
    <row r="17" spans="1:63" s="9" customFormat="1" ht="14.25">
      <c r="A17" s="242" t="s">
        <v>72</v>
      </c>
      <c r="B17" s="302" t="s">
        <v>338</v>
      </c>
      <c r="C17" s="302"/>
      <c r="D17" s="302"/>
      <c r="E17" s="302"/>
      <c r="F17" s="295" t="s">
        <v>31</v>
      </c>
      <c r="G17" s="295"/>
      <c r="H17" s="275">
        <v>21</v>
      </c>
      <c r="I17" s="276"/>
      <c r="J17"/>
      <c r="K17"/>
      <c r="L17"/>
      <c r="M17"/>
      <c r="N17"/>
      <c r="O17"/>
      <c r="P17"/>
      <c r="Q17"/>
      <c r="R17"/>
      <c r="S17"/>
      <c r="T17"/>
      <c r="U17"/>
      <c r="V17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</row>
    <row r="18" spans="1:63" s="9" customFormat="1" ht="14.25">
      <c r="A18" s="242" t="s">
        <v>73</v>
      </c>
      <c r="B18" s="302" t="s">
        <v>339</v>
      </c>
      <c r="C18" s="302"/>
      <c r="D18" s="302"/>
      <c r="E18" s="302"/>
      <c r="F18" s="295" t="s">
        <v>31</v>
      </c>
      <c r="G18" s="295"/>
      <c r="H18" s="275">
        <v>10</v>
      </c>
      <c r="I18" s="276"/>
      <c r="J18"/>
      <c r="K18"/>
      <c r="L18"/>
      <c r="M18"/>
      <c r="N18"/>
      <c r="O18"/>
      <c r="P18"/>
      <c r="Q18"/>
      <c r="R18"/>
      <c r="S18"/>
      <c r="T18"/>
      <c r="U18"/>
      <c r="V18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</row>
    <row r="19" spans="1:63" s="9" customFormat="1" ht="14.25">
      <c r="A19" s="242" t="s">
        <v>74</v>
      </c>
      <c r="B19" s="302" t="s">
        <v>340</v>
      </c>
      <c r="C19" s="302"/>
      <c r="D19" s="302"/>
      <c r="E19" s="302"/>
      <c r="F19" s="295" t="s">
        <v>16</v>
      </c>
      <c r="G19" s="295"/>
      <c r="H19" s="280">
        <v>15</v>
      </c>
      <c r="I19" s="281"/>
      <c r="J19"/>
      <c r="K19"/>
      <c r="L19"/>
      <c r="M19"/>
      <c r="N19"/>
      <c r="O19"/>
      <c r="P19"/>
      <c r="Q19"/>
      <c r="R19"/>
      <c r="S19"/>
      <c r="T19"/>
      <c r="U19"/>
      <c r="V19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</row>
    <row r="20" spans="1:63" s="9" customFormat="1" ht="14.25">
      <c r="A20" s="242" t="s">
        <v>110</v>
      </c>
      <c r="B20" s="301" t="s">
        <v>341</v>
      </c>
      <c r="C20" s="301"/>
      <c r="D20" s="301"/>
      <c r="E20" s="301"/>
      <c r="F20" s="295" t="s">
        <v>16</v>
      </c>
      <c r="G20" s="295"/>
      <c r="H20" s="280">
        <v>11</v>
      </c>
      <c r="I20" s="281"/>
      <c r="J20"/>
      <c r="K20"/>
      <c r="L20"/>
      <c r="M20"/>
      <c r="N20"/>
      <c r="O20"/>
      <c r="P20"/>
      <c r="Q20"/>
      <c r="R20"/>
      <c r="S20"/>
      <c r="T20"/>
      <c r="U20"/>
      <c r="V20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</row>
    <row r="21" spans="1:63" s="9" customFormat="1" ht="14.25">
      <c r="A21" s="242" t="s">
        <v>111</v>
      </c>
      <c r="B21" s="301" t="s">
        <v>342</v>
      </c>
      <c r="C21" s="301"/>
      <c r="D21" s="301"/>
      <c r="E21" s="301"/>
      <c r="F21" s="295" t="s">
        <v>16</v>
      </c>
      <c r="G21" s="295"/>
      <c r="H21" s="280">
        <v>1</v>
      </c>
      <c r="I21" s="281"/>
      <c r="J21"/>
      <c r="K21"/>
      <c r="L21"/>
      <c r="M21"/>
      <c r="N21"/>
      <c r="O21"/>
      <c r="P21"/>
      <c r="Q21"/>
      <c r="R21"/>
      <c r="S21"/>
      <c r="T21"/>
      <c r="U21"/>
      <c r="V21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</row>
    <row r="22" spans="1:63" s="9" customFormat="1" ht="14.25">
      <c r="A22" s="242" t="s">
        <v>118</v>
      </c>
      <c r="B22" s="301" t="s">
        <v>343</v>
      </c>
      <c r="C22" s="301"/>
      <c r="D22" s="301"/>
      <c r="E22" s="301"/>
      <c r="F22" s="295" t="s">
        <v>16</v>
      </c>
      <c r="G22" s="295"/>
      <c r="H22" s="280">
        <v>1</v>
      </c>
      <c r="I22" s="281"/>
      <c r="J22"/>
      <c r="K22"/>
      <c r="L22"/>
      <c r="M22"/>
      <c r="N22"/>
      <c r="O22"/>
      <c r="P22"/>
      <c r="Q22"/>
      <c r="R22"/>
      <c r="S22"/>
      <c r="T22"/>
      <c r="U22"/>
      <c r="V22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</row>
    <row r="23" spans="1:63" s="9" customFormat="1" ht="14.25">
      <c r="A23" s="242" t="s">
        <v>126</v>
      </c>
      <c r="B23" s="301" t="s">
        <v>344</v>
      </c>
      <c r="C23" s="301"/>
      <c r="D23" s="301"/>
      <c r="E23" s="301"/>
      <c r="F23" s="295" t="s">
        <v>16</v>
      </c>
      <c r="G23" s="295"/>
      <c r="H23" s="280">
        <v>1</v>
      </c>
      <c r="I23" s="281"/>
      <c r="J23"/>
      <c r="K23"/>
      <c r="L23"/>
      <c r="M23"/>
      <c r="N23"/>
      <c r="O23"/>
      <c r="P23"/>
      <c r="Q23"/>
      <c r="R23"/>
      <c r="S23"/>
      <c r="T23"/>
      <c r="U23"/>
      <c r="V23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</row>
    <row r="24" spans="1:63" s="9" customFormat="1" ht="14.25">
      <c r="A24" s="242" t="s">
        <v>291</v>
      </c>
      <c r="B24" s="301" t="s">
        <v>345</v>
      </c>
      <c r="C24" s="301"/>
      <c r="D24" s="301"/>
      <c r="E24" s="301"/>
      <c r="F24" s="295" t="s">
        <v>16</v>
      </c>
      <c r="G24" s="295"/>
      <c r="H24" s="280">
        <v>1</v>
      </c>
      <c r="I24" s="281"/>
      <c r="J24"/>
      <c r="K24"/>
      <c r="L24"/>
      <c r="M24"/>
      <c r="N24"/>
      <c r="O24"/>
      <c r="P24"/>
      <c r="Q24"/>
      <c r="R24"/>
      <c r="S24"/>
      <c r="T24"/>
      <c r="U24"/>
      <c r="V24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</row>
    <row r="25" spans="1:63" s="9" customFormat="1" ht="14.25">
      <c r="A25" s="242" t="s">
        <v>292</v>
      </c>
      <c r="B25" s="302" t="s">
        <v>346</v>
      </c>
      <c r="C25" s="302"/>
      <c r="D25" s="302"/>
      <c r="E25" s="302"/>
      <c r="F25" s="295" t="s">
        <v>16</v>
      </c>
      <c r="G25" s="295"/>
      <c r="H25" s="280">
        <v>1</v>
      </c>
      <c r="I25" s="281"/>
      <c r="J25"/>
      <c r="K25"/>
      <c r="L25"/>
      <c r="M25"/>
      <c r="N25"/>
      <c r="O25"/>
      <c r="P25"/>
      <c r="Q25"/>
      <c r="R25"/>
      <c r="S25"/>
      <c r="T25"/>
      <c r="U25"/>
      <c r="V25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</row>
    <row r="26" spans="1:63" s="9" customFormat="1" ht="14.25">
      <c r="A26" s="233"/>
      <c r="B26" s="399" t="s">
        <v>609</v>
      </c>
      <c r="C26" s="399"/>
      <c r="D26" s="399"/>
      <c r="E26" s="399"/>
      <c r="F26" s="295"/>
      <c r="G26" s="295"/>
      <c r="H26" s="280"/>
      <c r="I26" s="281"/>
      <c r="J26"/>
      <c r="K26"/>
      <c r="L26"/>
      <c r="M26"/>
      <c r="N26"/>
      <c r="O26"/>
      <c r="P26"/>
      <c r="Q26"/>
      <c r="R26"/>
      <c r="S26"/>
      <c r="T26"/>
      <c r="U26"/>
      <c r="V2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</row>
    <row r="27" spans="1:63" s="9" customFormat="1" ht="14.25">
      <c r="A27" s="242" t="s">
        <v>71</v>
      </c>
      <c r="B27" s="302" t="s">
        <v>494</v>
      </c>
      <c r="C27" s="302"/>
      <c r="D27" s="302"/>
      <c r="E27" s="302"/>
      <c r="F27" s="295" t="s">
        <v>16</v>
      </c>
      <c r="G27" s="295"/>
      <c r="H27" s="280">
        <v>2</v>
      </c>
      <c r="I27" s="281"/>
      <c r="J27"/>
      <c r="K27"/>
      <c r="L27"/>
      <c r="M27"/>
      <c r="N27"/>
      <c r="O27"/>
      <c r="P27"/>
      <c r="Q27"/>
      <c r="R27"/>
      <c r="S27"/>
      <c r="T27"/>
      <c r="U27"/>
      <c r="V27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</row>
    <row r="28" spans="1:63" s="9" customFormat="1" ht="14.25">
      <c r="A28" s="233"/>
      <c r="B28" s="399" t="s">
        <v>543</v>
      </c>
      <c r="C28" s="399"/>
      <c r="D28" s="399"/>
      <c r="E28" s="399"/>
      <c r="F28" s="295"/>
      <c r="G28" s="295"/>
      <c r="H28" s="280"/>
      <c r="I28" s="281"/>
      <c r="J28"/>
      <c r="K28"/>
      <c r="L28"/>
      <c r="M28"/>
      <c r="N28"/>
      <c r="O28"/>
      <c r="P28"/>
      <c r="Q28"/>
      <c r="R28"/>
      <c r="S28"/>
      <c r="T28"/>
      <c r="U28"/>
      <c r="V28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</row>
    <row r="29" spans="1:63" s="9" customFormat="1" ht="14.25">
      <c r="A29" s="242" t="s">
        <v>76</v>
      </c>
      <c r="B29" s="302" t="s">
        <v>357</v>
      </c>
      <c r="C29" s="302"/>
      <c r="D29" s="302"/>
      <c r="E29" s="302"/>
      <c r="F29" s="295" t="s">
        <v>348</v>
      </c>
      <c r="G29" s="295"/>
      <c r="H29" s="275">
        <v>62</v>
      </c>
      <c r="I29" s="276"/>
      <c r="J29"/>
      <c r="K29"/>
      <c r="L29"/>
      <c r="M29"/>
      <c r="N29"/>
      <c r="O29"/>
      <c r="P29"/>
      <c r="Q29"/>
      <c r="R29"/>
      <c r="S29"/>
      <c r="T29"/>
      <c r="U29"/>
      <c r="V29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</row>
    <row r="30" spans="1:63" s="9" customFormat="1" ht="27" customHeight="1">
      <c r="A30" s="242" t="s">
        <v>77</v>
      </c>
      <c r="B30" s="302" t="s">
        <v>358</v>
      </c>
      <c r="C30" s="302"/>
      <c r="D30" s="302"/>
      <c r="E30" s="302"/>
      <c r="F30" s="295" t="s">
        <v>16</v>
      </c>
      <c r="G30" s="295"/>
      <c r="H30" s="280">
        <v>52</v>
      </c>
      <c r="I30" s="281"/>
      <c r="J30"/>
      <c r="K30"/>
      <c r="L30"/>
      <c r="M30"/>
      <c r="N30"/>
      <c r="O30"/>
      <c r="P30"/>
      <c r="Q30"/>
      <c r="R30"/>
      <c r="S30"/>
      <c r="T30"/>
      <c r="U30"/>
      <c r="V30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</row>
    <row r="31" spans="1:63" s="9" customFormat="1" ht="14.25">
      <c r="A31" s="242" t="s">
        <v>78</v>
      </c>
      <c r="B31" s="302" t="s">
        <v>354</v>
      </c>
      <c r="C31" s="302"/>
      <c r="D31" s="302"/>
      <c r="E31" s="302"/>
      <c r="F31" s="295" t="s">
        <v>16</v>
      </c>
      <c r="G31" s="295"/>
      <c r="H31" s="280">
        <v>2</v>
      </c>
      <c r="I31" s="281"/>
      <c r="J31"/>
      <c r="K31"/>
      <c r="L31"/>
      <c r="M31"/>
      <c r="N31"/>
      <c r="O31"/>
      <c r="P31"/>
      <c r="Q31"/>
      <c r="R31"/>
      <c r="S31"/>
      <c r="T31"/>
      <c r="U31"/>
      <c r="V31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</row>
    <row r="32" spans="1:63" s="9" customFormat="1" ht="14.25">
      <c r="A32" s="242" t="s">
        <v>83</v>
      </c>
      <c r="B32" s="302" t="s">
        <v>353</v>
      </c>
      <c r="C32" s="302"/>
      <c r="D32" s="302"/>
      <c r="E32" s="302"/>
      <c r="F32" s="295" t="s">
        <v>17</v>
      </c>
      <c r="G32" s="295"/>
      <c r="H32" s="280">
        <v>1</v>
      </c>
      <c r="I32" s="281"/>
      <c r="J32"/>
      <c r="K32"/>
      <c r="L32"/>
      <c r="M32"/>
      <c r="N32"/>
      <c r="O32"/>
      <c r="P32"/>
      <c r="Q32"/>
      <c r="R32"/>
      <c r="S32"/>
      <c r="T32"/>
      <c r="U32"/>
      <c r="V32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</row>
    <row r="33" spans="1:63" s="9" customFormat="1" ht="14.25">
      <c r="A33" s="242" t="s">
        <v>311</v>
      </c>
      <c r="B33" s="302" t="s">
        <v>349</v>
      </c>
      <c r="C33" s="302"/>
      <c r="D33" s="302"/>
      <c r="E33" s="302"/>
      <c r="F33" s="295" t="s">
        <v>17</v>
      </c>
      <c r="G33" s="295"/>
      <c r="H33" s="280">
        <v>11</v>
      </c>
      <c r="I33" s="281"/>
      <c r="J33"/>
      <c r="K33"/>
      <c r="L33"/>
      <c r="M33"/>
      <c r="N33"/>
      <c r="O33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</row>
    <row r="34" spans="1:63" s="9" customFormat="1" ht="14.25">
      <c r="A34" s="242" t="s">
        <v>312</v>
      </c>
      <c r="B34" s="302" t="s">
        <v>350</v>
      </c>
      <c r="C34" s="302"/>
      <c r="D34" s="302"/>
      <c r="E34" s="302"/>
      <c r="F34" s="295" t="s">
        <v>17</v>
      </c>
      <c r="G34" s="295"/>
      <c r="H34" s="280">
        <v>1</v>
      </c>
      <c r="I34" s="281"/>
      <c r="J34"/>
      <c r="K34"/>
      <c r="L34"/>
      <c r="M34"/>
      <c r="N34"/>
      <c r="O34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</row>
    <row r="35" spans="1:63" s="9" customFormat="1" ht="14.25">
      <c r="A35" s="242" t="s">
        <v>355</v>
      </c>
      <c r="B35" s="302" t="s">
        <v>351</v>
      </c>
      <c r="C35" s="302"/>
      <c r="D35" s="302"/>
      <c r="E35" s="302"/>
      <c r="F35" s="295" t="s">
        <v>17</v>
      </c>
      <c r="G35" s="295"/>
      <c r="H35" s="280">
        <v>1</v>
      </c>
      <c r="I35" s="281"/>
      <c r="J35"/>
      <c r="K35"/>
      <c r="L35"/>
      <c r="M35"/>
      <c r="N35"/>
      <c r="O35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</row>
    <row r="36" spans="1:63" s="9" customFormat="1" ht="14.25">
      <c r="A36" s="242" t="s">
        <v>356</v>
      </c>
      <c r="B36" s="302" t="s">
        <v>352</v>
      </c>
      <c r="C36" s="302"/>
      <c r="D36" s="302"/>
      <c r="E36" s="302"/>
      <c r="F36" s="295" t="s">
        <v>17</v>
      </c>
      <c r="G36" s="295"/>
      <c r="H36" s="280">
        <v>1</v>
      </c>
      <c r="I36" s="281"/>
      <c r="J36"/>
      <c r="K36"/>
      <c r="L36"/>
      <c r="M36"/>
      <c r="N36"/>
      <c r="O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</row>
    <row r="37" spans="1:63" s="9" customFormat="1" ht="14.25">
      <c r="A37" s="233"/>
      <c r="B37" s="399" t="s">
        <v>544</v>
      </c>
      <c r="C37" s="399"/>
      <c r="D37" s="399"/>
      <c r="E37" s="399"/>
      <c r="F37" s="295"/>
      <c r="G37" s="295"/>
      <c r="H37" s="280"/>
      <c r="I37" s="281"/>
      <c r="J37"/>
      <c r="K37"/>
      <c r="L37"/>
      <c r="M37"/>
      <c r="N37"/>
      <c r="O37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</row>
    <row r="38" spans="1:63" s="9" customFormat="1" ht="14.25">
      <c r="A38" s="242" t="s">
        <v>359</v>
      </c>
      <c r="B38" s="302" t="s">
        <v>379</v>
      </c>
      <c r="C38" s="302"/>
      <c r="D38" s="302"/>
      <c r="E38" s="302"/>
      <c r="F38" s="295" t="s">
        <v>348</v>
      </c>
      <c r="G38" s="295"/>
      <c r="H38" s="275">
        <v>20</v>
      </c>
      <c r="I38" s="276"/>
      <c r="J38"/>
      <c r="K38"/>
      <c r="L38"/>
      <c r="M38"/>
      <c r="N38"/>
      <c r="O38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</row>
    <row r="39" spans="1:63" s="9" customFormat="1" ht="14.25">
      <c r="A39" s="242" t="s">
        <v>360</v>
      </c>
      <c r="B39" s="302" t="s">
        <v>380</v>
      </c>
      <c r="C39" s="302"/>
      <c r="D39" s="302"/>
      <c r="E39" s="302"/>
      <c r="F39" s="295" t="s">
        <v>348</v>
      </c>
      <c r="G39" s="295"/>
      <c r="H39" s="275">
        <v>10</v>
      </c>
      <c r="I39" s="276"/>
      <c r="J39"/>
      <c r="K39"/>
      <c r="L39"/>
      <c r="M39"/>
      <c r="N39"/>
      <c r="O39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</row>
    <row r="40" spans="1:63" s="9" customFormat="1" ht="14.25">
      <c r="A40" s="242" t="s">
        <v>361</v>
      </c>
      <c r="B40" s="302" t="s">
        <v>381</v>
      </c>
      <c r="C40" s="302"/>
      <c r="D40" s="302"/>
      <c r="E40" s="302"/>
      <c r="F40" s="295" t="s">
        <v>348</v>
      </c>
      <c r="G40" s="295"/>
      <c r="H40" s="275">
        <v>7</v>
      </c>
      <c r="I40" s="276"/>
      <c r="J40"/>
      <c r="K40"/>
      <c r="L40"/>
      <c r="M40"/>
      <c r="N40"/>
      <c r="O40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</row>
    <row r="41" spans="1:63" s="9" customFormat="1" ht="14.25">
      <c r="A41" s="242" t="s">
        <v>362</v>
      </c>
      <c r="B41" s="302" t="s">
        <v>367</v>
      </c>
      <c r="C41" s="302"/>
      <c r="D41" s="302"/>
      <c r="E41" s="302"/>
      <c r="F41" s="295" t="s">
        <v>16</v>
      </c>
      <c r="G41" s="295"/>
      <c r="H41" s="280">
        <v>4</v>
      </c>
      <c r="I41" s="281"/>
      <c r="J41"/>
      <c r="K41"/>
      <c r="L41"/>
      <c r="M41"/>
      <c r="N41"/>
      <c r="O41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</row>
    <row r="42" spans="1:63" s="9" customFormat="1" ht="14.25">
      <c r="A42" s="242" t="s">
        <v>363</v>
      </c>
      <c r="B42" s="302" t="s">
        <v>368</v>
      </c>
      <c r="C42" s="302"/>
      <c r="D42" s="302"/>
      <c r="E42" s="302"/>
      <c r="F42" s="295" t="s">
        <v>16</v>
      </c>
      <c r="G42" s="295"/>
      <c r="H42" s="280">
        <v>6</v>
      </c>
      <c r="I42" s="281"/>
      <c r="J42"/>
      <c r="K42"/>
      <c r="L42"/>
      <c r="M42"/>
      <c r="N42"/>
      <c r="O42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</row>
    <row r="43" spans="1:63" s="9" customFormat="1" ht="14.25">
      <c r="A43" s="242" t="s">
        <v>364</v>
      </c>
      <c r="B43" s="302" t="s">
        <v>369</v>
      </c>
      <c r="C43" s="302"/>
      <c r="D43" s="302"/>
      <c r="E43" s="302"/>
      <c r="F43" s="295" t="s">
        <v>16</v>
      </c>
      <c r="G43" s="295"/>
      <c r="H43" s="280">
        <v>2</v>
      </c>
      <c r="I43" s="281"/>
      <c r="J43"/>
      <c r="K43"/>
      <c r="L43"/>
      <c r="M43"/>
      <c r="N43"/>
      <c r="O43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</row>
    <row r="44" spans="1:63" s="9" customFormat="1" ht="14.25">
      <c r="A44" s="242" t="s">
        <v>365</v>
      </c>
      <c r="B44" s="302" t="s">
        <v>370</v>
      </c>
      <c r="C44" s="302"/>
      <c r="D44" s="302"/>
      <c r="E44" s="302"/>
      <c r="F44" s="295" t="s">
        <v>17</v>
      </c>
      <c r="G44" s="295"/>
      <c r="H44" s="280">
        <v>1</v>
      </c>
      <c r="I44" s="281"/>
      <c r="J44"/>
      <c r="K44"/>
      <c r="L44"/>
      <c r="M44"/>
      <c r="N44"/>
      <c r="O44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</row>
    <row r="45" spans="1:63" s="9" customFormat="1" ht="14.25">
      <c r="A45" s="242" t="s">
        <v>366</v>
      </c>
      <c r="B45" s="302" t="s">
        <v>371</v>
      </c>
      <c r="C45" s="302"/>
      <c r="D45" s="302"/>
      <c r="E45" s="302"/>
      <c r="F45" s="295" t="s">
        <v>17</v>
      </c>
      <c r="G45" s="295"/>
      <c r="H45" s="280">
        <v>1</v>
      </c>
      <c r="I45" s="281"/>
      <c r="J45"/>
      <c r="K45"/>
      <c r="L45"/>
      <c r="M45"/>
      <c r="N45"/>
      <c r="O45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</row>
    <row r="46" spans="1:63" s="9" customFormat="1" ht="14.25">
      <c r="A46" s="242" t="s">
        <v>545</v>
      </c>
      <c r="B46" s="302" t="s">
        <v>372</v>
      </c>
      <c r="C46" s="302"/>
      <c r="D46" s="302"/>
      <c r="E46" s="302"/>
      <c r="F46" s="295" t="s">
        <v>17</v>
      </c>
      <c r="G46" s="295"/>
      <c r="H46" s="280">
        <v>1</v>
      </c>
      <c r="I46" s="281"/>
      <c r="J46"/>
      <c r="K46"/>
      <c r="L46"/>
      <c r="M46"/>
      <c r="N46"/>
      <c r="O4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</row>
    <row r="47" spans="1:63" s="9" customFormat="1" ht="14.25">
      <c r="A47" s="242"/>
      <c r="B47" s="399" t="s">
        <v>546</v>
      </c>
      <c r="C47" s="399"/>
      <c r="D47" s="399"/>
      <c r="E47" s="399"/>
      <c r="F47" s="295"/>
      <c r="G47" s="295"/>
      <c r="H47" s="280"/>
      <c r="I47" s="281"/>
      <c r="J47"/>
      <c r="K47"/>
      <c r="L47"/>
      <c r="M47"/>
      <c r="N47"/>
      <c r="O47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</row>
    <row r="48" spans="1:63" s="9" customFormat="1" ht="14.25">
      <c r="A48" s="242" t="s">
        <v>384</v>
      </c>
      <c r="B48" s="302" t="s">
        <v>382</v>
      </c>
      <c r="C48" s="302"/>
      <c r="D48" s="302"/>
      <c r="E48" s="302"/>
      <c r="F48" s="295" t="s">
        <v>348</v>
      </c>
      <c r="G48" s="295"/>
      <c r="H48" s="275">
        <v>40</v>
      </c>
      <c r="I48" s="276"/>
      <c r="J48"/>
      <c r="K48"/>
      <c r="L48"/>
      <c r="M48"/>
      <c r="N48"/>
      <c r="O48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</row>
    <row r="49" spans="1:63" s="9" customFormat="1" ht="14.25">
      <c r="A49" s="242" t="s">
        <v>385</v>
      </c>
      <c r="B49" s="302" t="s">
        <v>383</v>
      </c>
      <c r="C49" s="302"/>
      <c r="D49" s="302"/>
      <c r="E49" s="302"/>
      <c r="F49" s="295" t="s">
        <v>348</v>
      </c>
      <c r="G49" s="295"/>
      <c r="H49" s="275">
        <v>3</v>
      </c>
      <c r="I49" s="276"/>
      <c r="J49"/>
      <c r="K49"/>
      <c r="L49"/>
      <c r="M49"/>
      <c r="N49"/>
      <c r="O49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</row>
    <row r="50" spans="1:63" s="9" customFormat="1" ht="14.25">
      <c r="A50" s="242" t="s">
        <v>386</v>
      </c>
      <c r="B50" s="302" t="s">
        <v>373</v>
      </c>
      <c r="C50" s="302"/>
      <c r="D50" s="302"/>
      <c r="E50" s="302"/>
      <c r="F50" s="295" t="s">
        <v>16</v>
      </c>
      <c r="G50" s="295"/>
      <c r="H50" s="280">
        <v>3</v>
      </c>
      <c r="I50" s="281"/>
      <c r="J50"/>
      <c r="K50"/>
      <c r="L50"/>
      <c r="M50"/>
      <c r="N50"/>
      <c r="O50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</row>
    <row r="51" spans="1:63" s="9" customFormat="1" ht="14.25">
      <c r="A51" s="242" t="s">
        <v>387</v>
      </c>
      <c r="B51" s="302" t="s">
        <v>374</v>
      </c>
      <c r="C51" s="302"/>
      <c r="D51" s="302"/>
      <c r="E51" s="302"/>
      <c r="F51" s="295" t="s">
        <v>17</v>
      </c>
      <c r="G51" s="295"/>
      <c r="H51" s="280">
        <v>2</v>
      </c>
      <c r="I51" s="281"/>
      <c r="J51"/>
      <c r="K51"/>
      <c r="L51"/>
      <c r="M51"/>
      <c r="N51"/>
      <c r="O51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</row>
    <row r="52" spans="1:63" s="9" customFormat="1" ht="14.25">
      <c r="A52" s="242" t="s">
        <v>388</v>
      </c>
      <c r="B52" s="302" t="s">
        <v>375</v>
      </c>
      <c r="C52" s="302"/>
      <c r="D52" s="302"/>
      <c r="E52" s="302"/>
      <c r="F52" s="295" t="s">
        <v>17</v>
      </c>
      <c r="G52" s="295"/>
      <c r="H52" s="280">
        <v>2</v>
      </c>
      <c r="I52" s="281"/>
      <c r="J52"/>
      <c r="K52"/>
      <c r="L52"/>
      <c r="M52"/>
      <c r="N52"/>
      <c r="O52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</row>
    <row r="53" spans="1:63" s="9" customFormat="1" ht="14.25">
      <c r="A53" s="242" t="s">
        <v>389</v>
      </c>
      <c r="B53" s="302" t="s">
        <v>376</v>
      </c>
      <c r="C53" s="302"/>
      <c r="D53" s="302"/>
      <c r="E53" s="302"/>
      <c r="F53" s="295" t="s">
        <v>17</v>
      </c>
      <c r="G53" s="295"/>
      <c r="H53" s="280">
        <v>1</v>
      </c>
      <c r="I53" s="281"/>
      <c r="J53"/>
      <c r="K53"/>
      <c r="L53"/>
      <c r="M53"/>
      <c r="N53"/>
      <c r="O53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</row>
    <row r="54" spans="1:63" s="9" customFormat="1" ht="14.25">
      <c r="A54" s="242" t="s">
        <v>390</v>
      </c>
      <c r="B54" s="301" t="s">
        <v>377</v>
      </c>
      <c r="C54" s="301"/>
      <c r="D54" s="301"/>
      <c r="E54" s="301"/>
      <c r="F54" s="295" t="s">
        <v>17</v>
      </c>
      <c r="G54" s="295"/>
      <c r="H54" s="280">
        <v>1</v>
      </c>
      <c r="I54" s="281"/>
      <c r="J54"/>
      <c r="K54"/>
      <c r="L54"/>
      <c r="M54"/>
      <c r="N54"/>
      <c r="O54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</row>
    <row r="55" spans="1:63" s="9" customFormat="1" ht="14.25">
      <c r="A55" s="242" t="s">
        <v>391</v>
      </c>
      <c r="B55" s="302" t="s">
        <v>372</v>
      </c>
      <c r="C55" s="302"/>
      <c r="D55" s="302"/>
      <c r="E55" s="302"/>
      <c r="F55" s="295" t="s">
        <v>17</v>
      </c>
      <c r="G55" s="295"/>
      <c r="H55" s="280">
        <v>1</v>
      </c>
      <c r="I55" s="281"/>
      <c r="J55"/>
      <c r="K55"/>
      <c r="L55"/>
      <c r="M55"/>
      <c r="N55"/>
      <c r="O5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</row>
    <row r="56" spans="1:63" s="9" customFormat="1" ht="14.25">
      <c r="A56" s="242" t="s">
        <v>392</v>
      </c>
      <c r="B56" s="302" t="s">
        <v>444</v>
      </c>
      <c r="C56" s="302"/>
      <c r="D56" s="302"/>
      <c r="E56" s="302"/>
      <c r="F56" s="295" t="s">
        <v>16</v>
      </c>
      <c r="G56" s="295"/>
      <c r="H56" s="280">
        <v>1</v>
      </c>
      <c r="I56" s="281"/>
      <c r="J56"/>
      <c r="K56"/>
      <c r="L56"/>
      <c r="M56"/>
      <c r="N56"/>
      <c r="O5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</row>
    <row r="57" spans="1:63" s="9" customFormat="1" ht="14.25">
      <c r="A57" s="242" t="s">
        <v>547</v>
      </c>
      <c r="B57" s="302" t="s">
        <v>378</v>
      </c>
      <c r="C57" s="302"/>
      <c r="D57" s="302"/>
      <c r="E57" s="302"/>
      <c r="F57" s="295" t="s">
        <v>16</v>
      </c>
      <c r="G57" s="295"/>
      <c r="H57" s="280">
        <v>1</v>
      </c>
      <c r="I57" s="281"/>
      <c r="J57"/>
      <c r="K57"/>
      <c r="L57"/>
      <c r="M57"/>
      <c r="N57"/>
      <c r="O57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</row>
    <row r="58" spans="1:63" s="9" customFormat="1" ht="14.25">
      <c r="A58" s="242"/>
      <c r="B58" s="399" t="s">
        <v>548</v>
      </c>
      <c r="C58" s="399"/>
      <c r="D58" s="399"/>
      <c r="E58" s="399"/>
      <c r="F58" s="295"/>
      <c r="G58" s="295"/>
      <c r="H58" s="280"/>
      <c r="I58" s="281"/>
      <c r="J58"/>
      <c r="K58"/>
      <c r="L58"/>
      <c r="M58"/>
      <c r="N58"/>
      <c r="O58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</row>
    <row r="59" spans="1:63" s="9" customFormat="1" ht="14.25">
      <c r="A59" s="242"/>
      <c r="B59" s="399" t="s">
        <v>549</v>
      </c>
      <c r="C59" s="399"/>
      <c r="D59" s="399"/>
      <c r="E59" s="399"/>
      <c r="F59" s="295"/>
      <c r="G59" s="295"/>
      <c r="H59" s="280"/>
      <c r="I59" s="281"/>
      <c r="J59"/>
      <c r="K59"/>
      <c r="L59"/>
      <c r="M59"/>
      <c r="N59"/>
      <c r="O59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</row>
    <row r="60" spans="1:63" s="10" customFormat="1" ht="24.75" customHeight="1">
      <c r="A60" s="242" t="s">
        <v>550</v>
      </c>
      <c r="B60" s="302" t="s">
        <v>445</v>
      </c>
      <c r="C60" s="302"/>
      <c r="D60" s="302"/>
      <c r="E60" s="302"/>
      <c r="F60" s="295" t="s">
        <v>17</v>
      </c>
      <c r="G60" s="295"/>
      <c r="H60" s="280">
        <v>1</v>
      </c>
      <c r="I60" s="281"/>
      <c r="J60"/>
      <c r="K60"/>
      <c r="L60"/>
      <c r="M60"/>
      <c r="N60"/>
      <c r="O60"/>
      <c r="Q60" s="136"/>
      <c r="R60" s="136"/>
    </row>
    <row r="61" spans="1:63" s="10" customFormat="1" ht="14.25">
      <c r="A61" s="233"/>
      <c r="B61" s="496" t="s">
        <v>393</v>
      </c>
      <c r="C61" s="496"/>
      <c r="D61" s="496"/>
      <c r="E61" s="496"/>
      <c r="F61" s="295" t="s">
        <v>16</v>
      </c>
      <c r="G61" s="295"/>
      <c r="H61" s="280">
        <v>1</v>
      </c>
      <c r="I61" s="281"/>
      <c r="J61"/>
      <c r="K61"/>
      <c r="L61"/>
      <c r="M61"/>
      <c r="N61"/>
      <c r="O61"/>
      <c r="Q61" s="136"/>
      <c r="R61" s="136"/>
    </row>
    <row r="62" spans="1:63" s="10" customFormat="1" ht="14.25">
      <c r="A62" s="233"/>
      <c r="B62" s="496" t="s">
        <v>394</v>
      </c>
      <c r="C62" s="496"/>
      <c r="D62" s="496"/>
      <c r="E62" s="496"/>
      <c r="F62" s="295" t="s">
        <v>16</v>
      </c>
      <c r="G62" s="295"/>
      <c r="H62" s="280">
        <v>1</v>
      </c>
      <c r="I62" s="281"/>
      <c r="J62"/>
      <c r="K62"/>
      <c r="L62"/>
      <c r="M62"/>
      <c r="N62"/>
      <c r="O62"/>
      <c r="Q62" s="136"/>
      <c r="R62" s="136"/>
    </row>
    <row r="63" spans="1:63" s="10" customFormat="1" ht="14.25">
      <c r="A63" s="233"/>
      <c r="B63" s="496" t="s">
        <v>395</v>
      </c>
      <c r="C63" s="496"/>
      <c r="D63" s="496"/>
      <c r="E63" s="496"/>
      <c r="F63" s="295" t="s">
        <v>16</v>
      </c>
      <c r="G63" s="295"/>
      <c r="H63" s="280">
        <v>1</v>
      </c>
      <c r="I63" s="281"/>
      <c r="J63"/>
      <c r="K63"/>
      <c r="L63"/>
      <c r="M63"/>
      <c r="N63"/>
      <c r="O63"/>
      <c r="Q63" s="136"/>
      <c r="R63" s="136"/>
    </row>
    <row r="64" spans="1:63" s="10" customFormat="1" ht="14.25">
      <c r="A64" s="233"/>
      <c r="B64" s="496" t="s">
        <v>621</v>
      </c>
      <c r="C64" s="496"/>
      <c r="D64" s="496"/>
      <c r="E64" s="496"/>
      <c r="F64" s="295" t="s">
        <v>16</v>
      </c>
      <c r="G64" s="295"/>
      <c r="H64" s="280">
        <v>2</v>
      </c>
      <c r="I64" s="281"/>
      <c r="J64"/>
      <c r="K64"/>
      <c r="L64"/>
      <c r="M64"/>
      <c r="N64"/>
      <c r="O64"/>
      <c r="Q64" s="136"/>
      <c r="R64" s="136"/>
    </row>
    <row r="65" spans="1:63" s="10" customFormat="1" ht="14.25">
      <c r="A65" s="233"/>
      <c r="B65" s="496" t="s">
        <v>396</v>
      </c>
      <c r="C65" s="496"/>
      <c r="D65" s="496"/>
      <c r="E65" s="496"/>
      <c r="F65" s="295" t="s">
        <v>16</v>
      </c>
      <c r="G65" s="295"/>
      <c r="H65" s="280">
        <v>1</v>
      </c>
      <c r="I65" s="281"/>
      <c r="J65"/>
      <c r="K65"/>
      <c r="L65"/>
      <c r="M65"/>
      <c r="N65"/>
      <c r="O65"/>
      <c r="Q65" s="136"/>
      <c r="R65" s="136"/>
    </row>
    <row r="66" spans="1:63" s="10" customFormat="1" ht="14.25">
      <c r="A66" s="233"/>
      <c r="B66" s="496" t="s">
        <v>397</v>
      </c>
      <c r="C66" s="496"/>
      <c r="D66" s="496"/>
      <c r="E66" s="496"/>
      <c r="F66" s="295" t="s">
        <v>16</v>
      </c>
      <c r="G66" s="295"/>
      <c r="H66" s="280">
        <v>10</v>
      </c>
      <c r="I66" s="281"/>
      <c r="J66"/>
      <c r="K66"/>
      <c r="L66"/>
      <c r="M66"/>
      <c r="N66"/>
      <c r="O66"/>
      <c r="Q66" s="136"/>
      <c r="R66" s="136"/>
    </row>
    <row r="67" spans="1:63" s="10" customFormat="1" ht="14.25">
      <c r="A67" s="233"/>
      <c r="B67" s="496" t="s">
        <v>398</v>
      </c>
      <c r="C67" s="496"/>
      <c r="D67" s="496"/>
      <c r="E67" s="496"/>
      <c r="F67" s="295" t="s">
        <v>16</v>
      </c>
      <c r="G67" s="295"/>
      <c r="H67" s="280">
        <v>12</v>
      </c>
      <c r="I67" s="281"/>
      <c r="J67"/>
      <c r="K67"/>
      <c r="L67"/>
      <c r="M67"/>
      <c r="N67"/>
      <c r="O67"/>
      <c r="Q67" s="136"/>
      <c r="R67" s="136"/>
    </row>
    <row r="68" spans="1:63" s="10" customFormat="1" ht="14.25">
      <c r="A68" s="233"/>
      <c r="B68" s="496" t="s">
        <v>399</v>
      </c>
      <c r="C68" s="496"/>
      <c r="D68" s="496"/>
      <c r="E68" s="496"/>
      <c r="F68" s="295" t="s">
        <v>16</v>
      </c>
      <c r="G68" s="295"/>
      <c r="H68" s="280">
        <v>2</v>
      </c>
      <c r="I68" s="281"/>
      <c r="J68"/>
      <c r="K68"/>
      <c r="L68"/>
      <c r="M68"/>
      <c r="N68"/>
      <c r="O68"/>
      <c r="Q68" s="136"/>
      <c r="R68" s="136"/>
    </row>
    <row r="69" spans="1:63" s="10" customFormat="1" ht="14.25">
      <c r="A69" s="233"/>
      <c r="B69" s="496" t="s">
        <v>400</v>
      </c>
      <c r="C69" s="496"/>
      <c r="D69" s="496"/>
      <c r="E69" s="496"/>
      <c r="F69" s="295" t="s">
        <v>16</v>
      </c>
      <c r="G69" s="295"/>
      <c r="H69" s="280">
        <v>4</v>
      </c>
      <c r="I69" s="281"/>
      <c r="J69"/>
      <c r="K69"/>
      <c r="L69"/>
      <c r="M69"/>
      <c r="N69"/>
      <c r="O69"/>
      <c r="Q69" s="136"/>
      <c r="R69" s="136"/>
    </row>
    <row r="70" spans="1:63" s="10" customFormat="1" ht="14.25">
      <c r="A70" s="233"/>
      <c r="B70" s="496" t="s">
        <v>401</v>
      </c>
      <c r="C70" s="496"/>
      <c r="D70" s="496"/>
      <c r="E70" s="496"/>
      <c r="F70" s="295" t="s">
        <v>16</v>
      </c>
      <c r="G70" s="295"/>
      <c r="H70" s="280">
        <v>4</v>
      </c>
      <c r="I70" s="281"/>
      <c r="J70"/>
      <c r="K70"/>
      <c r="L70"/>
      <c r="M70"/>
      <c r="N70"/>
      <c r="O70"/>
      <c r="Q70" s="136"/>
      <c r="R70" s="136"/>
    </row>
    <row r="71" spans="1:63" s="9" customFormat="1" ht="14.25">
      <c r="A71" s="242"/>
      <c r="B71" s="399" t="s">
        <v>563</v>
      </c>
      <c r="C71" s="399"/>
      <c r="D71" s="399"/>
      <c r="E71" s="399"/>
      <c r="F71" s="295"/>
      <c r="G71" s="295"/>
      <c r="H71" s="280"/>
      <c r="I71" s="281"/>
      <c r="J71"/>
      <c r="K71"/>
      <c r="L71"/>
      <c r="M71"/>
      <c r="N71"/>
      <c r="O71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</row>
    <row r="72" spans="1:63" s="10" customFormat="1" ht="25.5" customHeight="1">
      <c r="A72" s="242" t="s">
        <v>551</v>
      </c>
      <c r="B72" s="302" t="s">
        <v>402</v>
      </c>
      <c r="C72" s="302"/>
      <c r="D72" s="302"/>
      <c r="E72" s="302"/>
      <c r="F72" s="295" t="s">
        <v>16</v>
      </c>
      <c r="G72" s="295"/>
      <c r="H72" s="280">
        <v>12</v>
      </c>
      <c r="I72" s="281"/>
      <c r="J72"/>
      <c r="K72"/>
      <c r="L72"/>
      <c r="M72"/>
      <c r="N72"/>
      <c r="O72"/>
    </row>
    <row r="73" spans="1:63" s="10" customFormat="1" ht="27" customHeight="1">
      <c r="A73" s="242" t="s">
        <v>552</v>
      </c>
      <c r="B73" s="302" t="s">
        <v>403</v>
      </c>
      <c r="C73" s="302"/>
      <c r="D73" s="302"/>
      <c r="E73" s="302"/>
      <c r="F73" s="295" t="s">
        <v>16</v>
      </c>
      <c r="G73" s="295"/>
      <c r="H73" s="280">
        <v>10</v>
      </c>
      <c r="I73" s="281"/>
      <c r="J73"/>
      <c r="K73"/>
      <c r="L73"/>
      <c r="M73"/>
      <c r="N73"/>
      <c r="O73"/>
    </row>
    <row r="74" spans="1:63" s="10" customFormat="1" ht="24" customHeight="1">
      <c r="A74" s="242" t="s">
        <v>553</v>
      </c>
      <c r="B74" s="302" t="s">
        <v>404</v>
      </c>
      <c r="C74" s="302"/>
      <c r="D74" s="302"/>
      <c r="E74" s="302"/>
      <c r="F74" s="295" t="s">
        <v>16</v>
      </c>
      <c r="G74" s="295"/>
      <c r="H74" s="280">
        <v>16</v>
      </c>
      <c r="I74" s="281"/>
      <c r="J74"/>
      <c r="K74"/>
      <c r="L74"/>
      <c r="M74"/>
      <c r="N74"/>
      <c r="O74"/>
    </row>
    <row r="75" spans="1:63" s="10" customFormat="1" ht="24.75" customHeight="1">
      <c r="A75" s="242" t="s">
        <v>554</v>
      </c>
      <c r="B75" s="302" t="s">
        <v>405</v>
      </c>
      <c r="C75" s="302"/>
      <c r="D75" s="302"/>
      <c r="E75" s="302"/>
      <c r="F75" s="295" t="s">
        <v>16</v>
      </c>
      <c r="G75" s="295"/>
      <c r="H75" s="280">
        <v>10</v>
      </c>
      <c r="I75" s="281"/>
      <c r="J75"/>
      <c r="K75"/>
      <c r="L75"/>
      <c r="M75"/>
      <c r="N75"/>
      <c r="O75"/>
    </row>
    <row r="76" spans="1:63" s="10" customFormat="1" ht="29.25" customHeight="1">
      <c r="A76" s="242" t="s">
        <v>555</v>
      </c>
      <c r="B76" s="302" t="s">
        <v>406</v>
      </c>
      <c r="C76" s="302"/>
      <c r="D76" s="302"/>
      <c r="E76" s="302"/>
      <c r="F76" s="295" t="s">
        <v>16</v>
      </c>
      <c r="G76" s="295"/>
      <c r="H76" s="280">
        <v>2</v>
      </c>
      <c r="I76" s="281"/>
      <c r="J76"/>
      <c r="K76"/>
      <c r="L76"/>
      <c r="M76"/>
      <c r="N76"/>
      <c r="O76"/>
    </row>
    <row r="77" spans="1:63" s="10" customFormat="1" ht="28.5" customHeight="1">
      <c r="A77" s="242" t="s">
        <v>556</v>
      </c>
      <c r="B77" s="302" t="s">
        <v>407</v>
      </c>
      <c r="C77" s="302"/>
      <c r="D77" s="302"/>
      <c r="E77" s="302"/>
      <c r="F77" s="295" t="s">
        <v>16</v>
      </c>
      <c r="G77" s="295"/>
      <c r="H77" s="280">
        <v>20</v>
      </c>
      <c r="I77" s="281"/>
      <c r="J77"/>
      <c r="K77"/>
      <c r="L77"/>
      <c r="M77"/>
      <c r="N77"/>
      <c r="O77"/>
    </row>
    <row r="78" spans="1:63" s="10" customFormat="1" ht="27" customHeight="1">
      <c r="A78" s="242" t="s">
        <v>557</v>
      </c>
      <c r="B78" s="302" t="s">
        <v>408</v>
      </c>
      <c r="C78" s="302"/>
      <c r="D78" s="302"/>
      <c r="E78" s="302"/>
      <c r="F78" s="295" t="s">
        <v>16</v>
      </c>
      <c r="G78" s="295"/>
      <c r="H78" s="280">
        <v>4</v>
      </c>
      <c r="I78" s="281"/>
      <c r="J78"/>
      <c r="K78"/>
      <c r="L78"/>
      <c r="M78"/>
      <c r="N78"/>
      <c r="O78"/>
    </row>
    <row r="79" spans="1:63" s="10" customFormat="1" ht="14.25">
      <c r="A79" s="242" t="s">
        <v>558</v>
      </c>
      <c r="B79" s="302" t="s">
        <v>409</v>
      </c>
      <c r="C79" s="302"/>
      <c r="D79" s="302"/>
      <c r="E79" s="302"/>
      <c r="F79" s="295" t="s">
        <v>16</v>
      </c>
      <c r="G79" s="295"/>
      <c r="H79" s="280">
        <v>3</v>
      </c>
      <c r="I79" s="281"/>
      <c r="J79"/>
      <c r="K79"/>
      <c r="L79"/>
      <c r="M79"/>
      <c r="N79"/>
      <c r="O79"/>
    </row>
    <row r="80" spans="1:63" s="10" customFormat="1" ht="14.25">
      <c r="A80" s="242" t="s">
        <v>559</v>
      </c>
      <c r="B80" s="302" t="s">
        <v>410</v>
      </c>
      <c r="C80" s="302"/>
      <c r="D80" s="302"/>
      <c r="E80" s="302"/>
      <c r="F80" s="295" t="s">
        <v>16</v>
      </c>
      <c r="G80" s="295"/>
      <c r="H80" s="280">
        <v>4</v>
      </c>
      <c r="I80" s="281"/>
      <c r="J80"/>
      <c r="K80"/>
      <c r="L80"/>
      <c r="M80"/>
      <c r="N80"/>
      <c r="O80"/>
    </row>
    <row r="81" spans="1:63" s="10" customFormat="1" ht="14.25">
      <c r="A81" s="242" t="s">
        <v>560</v>
      </c>
      <c r="B81" s="302" t="s">
        <v>411</v>
      </c>
      <c r="C81" s="302"/>
      <c r="D81" s="302"/>
      <c r="E81" s="302"/>
      <c r="F81" s="295" t="s">
        <v>16</v>
      </c>
      <c r="G81" s="295"/>
      <c r="H81" s="280">
        <v>16</v>
      </c>
      <c r="I81" s="281"/>
      <c r="J81"/>
      <c r="K81"/>
      <c r="L81"/>
      <c r="M81"/>
      <c r="N81"/>
      <c r="O81"/>
    </row>
    <row r="82" spans="1:63" s="10" customFormat="1" ht="30" customHeight="1">
      <c r="A82" s="242" t="s">
        <v>561</v>
      </c>
      <c r="B82" s="302" t="s">
        <v>412</v>
      </c>
      <c r="C82" s="302"/>
      <c r="D82" s="302"/>
      <c r="E82" s="302"/>
      <c r="F82" s="295" t="s">
        <v>16</v>
      </c>
      <c r="G82" s="295"/>
      <c r="H82" s="280">
        <v>14</v>
      </c>
      <c r="I82" s="281"/>
      <c r="J82"/>
      <c r="K82"/>
      <c r="L82"/>
      <c r="M82"/>
      <c r="N82"/>
      <c r="O82"/>
    </row>
    <row r="83" spans="1:63" s="10" customFormat="1" ht="27" customHeight="1">
      <c r="A83" s="242" t="s">
        <v>562</v>
      </c>
      <c r="B83" s="302" t="s">
        <v>413</v>
      </c>
      <c r="C83" s="302"/>
      <c r="D83" s="302"/>
      <c r="E83" s="302"/>
      <c r="F83" s="295" t="s">
        <v>16</v>
      </c>
      <c r="G83" s="295"/>
      <c r="H83" s="280">
        <v>2</v>
      </c>
      <c r="I83" s="281"/>
      <c r="J83"/>
      <c r="K83"/>
      <c r="L83"/>
      <c r="M83"/>
      <c r="N83"/>
      <c r="O83"/>
    </row>
    <row r="84" spans="1:63" s="10" customFormat="1" ht="28.5" customHeight="1">
      <c r="A84" s="242" t="s">
        <v>564</v>
      </c>
      <c r="B84" s="302" t="s">
        <v>414</v>
      </c>
      <c r="C84" s="302"/>
      <c r="D84" s="302"/>
      <c r="E84" s="302"/>
      <c r="F84" s="295" t="s">
        <v>16</v>
      </c>
      <c r="G84" s="295"/>
      <c r="H84" s="280">
        <v>22</v>
      </c>
      <c r="I84" s="281"/>
      <c r="J84"/>
      <c r="K84"/>
      <c r="L84"/>
      <c r="M84"/>
      <c r="N84"/>
      <c r="O84"/>
    </row>
    <row r="85" spans="1:63" s="10" customFormat="1" ht="14.25">
      <c r="A85" s="242" t="s">
        <v>565</v>
      </c>
      <c r="B85" s="302" t="s">
        <v>415</v>
      </c>
      <c r="C85" s="302"/>
      <c r="D85" s="302"/>
      <c r="E85" s="302"/>
      <c r="F85" s="295" t="s">
        <v>16</v>
      </c>
      <c r="G85" s="295"/>
      <c r="H85" s="280">
        <v>23</v>
      </c>
      <c r="I85" s="281"/>
      <c r="J85"/>
      <c r="K85"/>
      <c r="L85"/>
      <c r="M85"/>
      <c r="N85"/>
      <c r="O85"/>
    </row>
    <row r="86" spans="1:63" s="10" customFormat="1" ht="14.25">
      <c r="A86" s="242" t="s">
        <v>566</v>
      </c>
      <c r="B86" s="302" t="s">
        <v>416</v>
      </c>
      <c r="C86" s="302"/>
      <c r="D86" s="302"/>
      <c r="E86" s="302"/>
      <c r="F86" s="295" t="s">
        <v>16</v>
      </c>
      <c r="G86" s="295"/>
      <c r="H86" s="280">
        <v>3</v>
      </c>
      <c r="I86" s="281"/>
      <c r="J86"/>
      <c r="K86"/>
      <c r="L86"/>
      <c r="M86"/>
      <c r="N86"/>
      <c r="O86"/>
    </row>
    <row r="87" spans="1:63" s="10" customFormat="1" ht="14.25">
      <c r="A87" s="242" t="s">
        <v>567</v>
      </c>
      <c r="B87" s="302" t="s">
        <v>417</v>
      </c>
      <c r="C87" s="302"/>
      <c r="D87" s="302"/>
      <c r="E87" s="302"/>
      <c r="F87" s="295" t="s">
        <v>16</v>
      </c>
      <c r="G87" s="295"/>
      <c r="H87" s="280">
        <v>2</v>
      </c>
      <c r="I87" s="281"/>
      <c r="J87"/>
      <c r="K87"/>
      <c r="L87"/>
      <c r="M87"/>
      <c r="N87"/>
      <c r="O87"/>
    </row>
    <row r="88" spans="1:63" s="10" customFormat="1" ht="14.25">
      <c r="A88" s="242" t="s">
        <v>568</v>
      </c>
      <c r="B88" s="302" t="s">
        <v>418</v>
      </c>
      <c r="C88" s="302"/>
      <c r="D88" s="302"/>
      <c r="E88" s="302"/>
      <c r="F88" s="295" t="s">
        <v>16</v>
      </c>
      <c r="G88" s="295"/>
      <c r="H88" s="280">
        <v>44</v>
      </c>
      <c r="I88" s="281"/>
      <c r="J88"/>
      <c r="K88"/>
      <c r="L88"/>
      <c r="M88"/>
      <c r="N88"/>
      <c r="O88"/>
    </row>
    <row r="89" spans="1:63" s="10" customFormat="1" ht="14.25">
      <c r="A89" s="242" t="s">
        <v>569</v>
      </c>
      <c r="B89" s="302" t="s">
        <v>419</v>
      </c>
      <c r="C89" s="302"/>
      <c r="D89" s="302"/>
      <c r="E89" s="302"/>
      <c r="F89" s="295" t="s">
        <v>16</v>
      </c>
      <c r="G89" s="295"/>
      <c r="H89" s="280">
        <v>18</v>
      </c>
      <c r="I89" s="281"/>
      <c r="J89"/>
      <c r="K89"/>
      <c r="L89"/>
      <c r="M89"/>
      <c r="N89"/>
      <c r="O89"/>
    </row>
    <row r="90" spans="1:63" s="10" customFormat="1" ht="14.25">
      <c r="A90" s="242" t="s">
        <v>570</v>
      </c>
      <c r="B90" s="302" t="s">
        <v>420</v>
      </c>
      <c r="C90" s="302"/>
      <c r="D90" s="302"/>
      <c r="E90" s="302"/>
      <c r="F90" s="295" t="s">
        <v>16</v>
      </c>
      <c r="G90" s="295"/>
      <c r="H90" s="280">
        <v>10</v>
      </c>
      <c r="I90" s="281"/>
      <c r="J90"/>
      <c r="K90"/>
      <c r="L90"/>
      <c r="M90"/>
      <c r="N90"/>
      <c r="O90"/>
    </row>
    <row r="91" spans="1:63" s="10" customFormat="1" ht="25.5" customHeight="1">
      <c r="A91" s="242" t="s">
        <v>571</v>
      </c>
      <c r="B91" s="302" t="s">
        <v>421</v>
      </c>
      <c r="C91" s="302"/>
      <c r="D91" s="302"/>
      <c r="E91" s="302"/>
      <c r="F91" s="295" t="s">
        <v>16</v>
      </c>
      <c r="G91" s="295"/>
      <c r="H91" s="280">
        <v>2</v>
      </c>
      <c r="I91" s="281"/>
      <c r="J91"/>
      <c r="K91"/>
      <c r="L91"/>
      <c r="M91"/>
      <c r="N91"/>
      <c r="O91"/>
    </row>
    <row r="92" spans="1:63" s="10" customFormat="1" ht="25.5" customHeight="1">
      <c r="A92" s="242" t="s">
        <v>572</v>
      </c>
      <c r="B92" s="302" t="s">
        <v>422</v>
      </c>
      <c r="C92" s="302"/>
      <c r="D92" s="302"/>
      <c r="E92" s="302"/>
      <c r="F92" s="295" t="s">
        <v>16</v>
      </c>
      <c r="G92" s="295"/>
      <c r="H92" s="280">
        <v>1</v>
      </c>
      <c r="I92" s="281"/>
      <c r="J92"/>
      <c r="K92"/>
      <c r="L92"/>
      <c r="M92"/>
      <c r="N92"/>
      <c r="O92"/>
    </row>
    <row r="93" spans="1:63" s="9" customFormat="1" ht="14.25">
      <c r="A93" s="242"/>
      <c r="B93" s="399" t="s">
        <v>573</v>
      </c>
      <c r="C93" s="399"/>
      <c r="D93" s="399"/>
      <c r="E93" s="399"/>
      <c r="F93" s="295"/>
      <c r="G93" s="295"/>
      <c r="H93" s="280"/>
      <c r="I93" s="281"/>
      <c r="J93"/>
      <c r="K93"/>
      <c r="L93"/>
      <c r="M93"/>
      <c r="N93"/>
      <c r="O93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</row>
    <row r="94" spans="1:63" s="136" customFormat="1">
      <c r="A94" s="242" t="s">
        <v>464</v>
      </c>
      <c r="B94" s="463" t="s">
        <v>423</v>
      </c>
      <c r="C94" s="463"/>
      <c r="D94" s="463"/>
      <c r="E94" s="463"/>
      <c r="F94" s="403" t="s">
        <v>31</v>
      </c>
      <c r="G94" s="403"/>
      <c r="H94" s="497">
        <v>100</v>
      </c>
      <c r="I94" s="498"/>
      <c r="J94"/>
      <c r="K94"/>
      <c r="L94"/>
      <c r="M94"/>
      <c r="N94"/>
      <c r="O94"/>
    </row>
    <row r="95" spans="1:63" s="136" customFormat="1">
      <c r="A95" s="242" t="s">
        <v>465</v>
      </c>
      <c r="B95" s="463" t="s">
        <v>424</v>
      </c>
      <c r="C95" s="463"/>
      <c r="D95" s="463"/>
      <c r="E95" s="463"/>
      <c r="F95" s="403" t="s">
        <v>31</v>
      </c>
      <c r="G95" s="403"/>
      <c r="H95" s="497">
        <v>100</v>
      </c>
      <c r="I95" s="498"/>
      <c r="J95"/>
      <c r="K95"/>
      <c r="L95"/>
      <c r="M95"/>
      <c r="N95"/>
      <c r="O95"/>
    </row>
    <row r="96" spans="1:63" s="136" customFormat="1">
      <c r="A96" s="242" t="s">
        <v>466</v>
      </c>
      <c r="B96" s="463" t="s">
        <v>425</v>
      </c>
      <c r="C96" s="463"/>
      <c r="D96" s="463"/>
      <c r="E96" s="463"/>
      <c r="F96" s="403" t="s">
        <v>31</v>
      </c>
      <c r="G96" s="403"/>
      <c r="H96" s="497">
        <v>150</v>
      </c>
      <c r="I96" s="498"/>
      <c r="J96"/>
      <c r="K96"/>
      <c r="L96"/>
      <c r="M96"/>
      <c r="N96"/>
      <c r="O96"/>
    </row>
    <row r="97" spans="1:63" s="136" customFormat="1">
      <c r="A97" s="242" t="s">
        <v>467</v>
      </c>
      <c r="B97" s="463" t="s">
        <v>426</v>
      </c>
      <c r="C97" s="463"/>
      <c r="D97" s="463"/>
      <c r="E97" s="463"/>
      <c r="F97" s="403" t="s">
        <v>31</v>
      </c>
      <c r="G97" s="403"/>
      <c r="H97" s="497">
        <v>100</v>
      </c>
      <c r="I97" s="498"/>
      <c r="J97"/>
      <c r="K97"/>
      <c r="L97"/>
      <c r="M97"/>
      <c r="N97"/>
      <c r="O97"/>
    </row>
    <row r="98" spans="1:63" s="10" customFormat="1" ht="14.25">
      <c r="A98" s="242" t="s">
        <v>468</v>
      </c>
      <c r="B98" s="302" t="s">
        <v>427</v>
      </c>
      <c r="C98" s="302"/>
      <c r="D98" s="302"/>
      <c r="E98" s="302"/>
      <c r="F98" s="295" t="s">
        <v>17</v>
      </c>
      <c r="G98" s="295"/>
      <c r="H98" s="280">
        <v>1</v>
      </c>
      <c r="I98" s="281"/>
      <c r="J98"/>
      <c r="K98"/>
      <c r="L98"/>
      <c r="M98"/>
      <c r="N98"/>
      <c r="O98"/>
    </row>
    <row r="99" spans="1:63" s="9" customFormat="1" ht="14.25">
      <c r="A99" s="242"/>
      <c r="B99" s="399" t="s">
        <v>574</v>
      </c>
      <c r="C99" s="399"/>
      <c r="D99" s="399"/>
      <c r="E99" s="399"/>
      <c r="F99" s="295"/>
      <c r="G99" s="295"/>
      <c r="H99" s="280"/>
      <c r="I99" s="281"/>
      <c r="J99"/>
      <c r="K99"/>
      <c r="L99"/>
      <c r="M99"/>
      <c r="N99"/>
      <c r="O99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</row>
    <row r="100" spans="1:63" s="136" customFormat="1">
      <c r="A100" s="242" t="s">
        <v>469</v>
      </c>
      <c r="B100" s="463" t="s">
        <v>428</v>
      </c>
      <c r="C100" s="463"/>
      <c r="D100" s="463"/>
      <c r="E100" s="463"/>
      <c r="F100" s="403" t="s">
        <v>31</v>
      </c>
      <c r="G100" s="403"/>
      <c r="H100" s="497">
        <v>8</v>
      </c>
      <c r="I100" s="498"/>
      <c r="J100"/>
      <c r="K100"/>
      <c r="L100"/>
      <c r="M100"/>
      <c r="N100"/>
      <c r="O100"/>
    </row>
    <row r="101" spans="1:63" s="136" customFormat="1">
      <c r="A101" s="242" t="s">
        <v>470</v>
      </c>
      <c r="B101" s="463" t="s">
        <v>429</v>
      </c>
      <c r="C101" s="463"/>
      <c r="D101" s="463"/>
      <c r="E101" s="463"/>
      <c r="F101" s="403" t="s">
        <v>31</v>
      </c>
      <c r="G101" s="403"/>
      <c r="H101" s="497">
        <v>125</v>
      </c>
      <c r="I101" s="498"/>
      <c r="J101"/>
      <c r="K101"/>
      <c r="L101"/>
      <c r="M101"/>
      <c r="N101"/>
      <c r="O101"/>
    </row>
    <row r="102" spans="1:63" s="136" customFormat="1">
      <c r="A102" s="242" t="s">
        <v>471</v>
      </c>
      <c r="B102" s="463" t="s">
        <v>430</v>
      </c>
      <c r="C102" s="463"/>
      <c r="D102" s="463"/>
      <c r="E102" s="463"/>
      <c r="F102" s="403" t="s">
        <v>31</v>
      </c>
      <c r="G102" s="403"/>
      <c r="H102" s="497">
        <v>395</v>
      </c>
      <c r="I102" s="498"/>
      <c r="J102"/>
      <c r="K102"/>
      <c r="L102"/>
      <c r="M102"/>
      <c r="N102"/>
      <c r="O102"/>
    </row>
    <row r="103" spans="1:63" s="136" customFormat="1">
      <c r="A103" s="242" t="s">
        <v>472</v>
      </c>
      <c r="B103" s="463" t="s">
        <v>431</v>
      </c>
      <c r="C103" s="463"/>
      <c r="D103" s="463"/>
      <c r="E103" s="463"/>
      <c r="F103" s="403" t="s">
        <v>31</v>
      </c>
      <c r="G103" s="403"/>
      <c r="H103" s="497">
        <v>590</v>
      </c>
      <c r="I103" s="498"/>
      <c r="J103"/>
      <c r="K103"/>
      <c r="L103"/>
      <c r="M103"/>
      <c r="N103"/>
      <c r="O103"/>
    </row>
    <row r="104" spans="1:63" s="136" customFormat="1">
      <c r="A104" s="242" t="s">
        <v>473</v>
      </c>
      <c r="B104" s="463" t="s">
        <v>432</v>
      </c>
      <c r="C104" s="463"/>
      <c r="D104" s="463"/>
      <c r="E104" s="463"/>
      <c r="F104" s="403" t="s">
        <v>31</v>
      </c>
      <c r="G104" s="403"/>
      <c r="H104" s="497">
        <v>100</v>
      </c>
      <c r="I104" s="498"/>
      <c r="J104"/>
      <c r="K104"/>
      <c r="L104"/>
      <c r="M104"/>
      <c r="N104"/>
      <c r="O104"/>
    </row>
    <row r="105" spans="1:63" s="136" customFormat="1">
      <c r="A105" s="242" t="s">
        <v>474</v>
      </c>
      <c r="B105" s="463" t="s">
        <v>433</v>
      </c>
      <c r="C105" s="463"/>
      <c r="D105" s="463"/>
      <c r="E105" s="463"/>
      <c r="F105" s="403" t="s">
        <v>31</v>
      </c>
      <c r="G105" s="403"/>
      <c r="H105" s="497">
        <v>460</v>
      </c>
      <c r="I105" s="498"/>
      <c r="J105"/>
      <c r="K105"/>
      <c r="L105"/>
      <c r="M105"/>
      <c r="N105"/>
      <c r="O105"/>
    </row>
    <row r="106" spans="1:63" s="136" customFormat="1">
      <c r="A106" s="242" t="s">
        <v>475</v>
      </c>
      <c r="B106" s="463" t="s">
        <v>434</v>
      </c>
      <c r="C106" s="463"/>
      <c r="D106" s="463"/>
      <c r="E106" s="463"/>
      <c r="F106" s="403" t="s">
        <v>31</v>
      </c>
      <c r="G106" s="403"/>
      <c r="H106" s="497">
        <v>60</v>
      </c>
      <c r="I106" s="498"/>
      <c r="J106"/>
      <c r="K106"/>
      <c r="L106"/>
      <c r="M106"/>
      <c r="N106"/>
      <c r="O106"/>
    </row>
    <row r="107" spans="1:63" s="136" customFormat="1">
      <c r="A107" s="242" t="s">
        <v>476</v>
      </c>
      <c r="B107" s="392" t="s">
        <v>435</v>
      </c>
      <c r="C107" s="392"/>
      <c r="D107" s="392"/>
      <c r="E107" s="392"/>
      <c r="F107" s="403" t="s">
        <v>31</v>
      </c>
      <c r="G107" s="403"/>
      <c r="H107" s="497">
        <v>20</v>
      </c>
      <c r="I107" s="498"/>
      <c r="J107"/>
      <c r="K107"/>
      <c r="L107"/>
      <c r="M107"/>
      <c r="N107"/>
      <c r="O107"/>
    </row>
    <row r="108" spans="1:63" s="10" customFormat="1" ht="14.25">
      <c r="A108" s="242" t="s">
        <v>477</v>
      </c>
      <c r="B108" s="302" t="s">
        <v>436</v>
      </c>
      <c r="C108" s="302"/>
      <c r="D108" s="302"/>
      <c r="E108" s="302"/>
      <c r="F108" s="295" t="s">
        <v>16</v>
      </c>
      <c r="G108" s="295"/>
      <c r="H108" s="280">
        <v>1</v>
      </c>
      <c r="I108" s="281"/>
      <c r="J108"/>
      <c r="K108"/>
      <c r="L108"/>
      <c r="M108"/>
      <c r="N108"/>
      <c r="O108"/>
    </row>
    <row r="109" spans="1:63" s="10" customFormat="1" ht="14.25">
      <c r="A109" s="242" t="s">
        <v>478</v>
      </c>
      <c r="B109" s="302" t="s">
        <v>437</v>
      </c>
      <c r="C109" s="302"/>
      <c r="D109" s="302"/>
      <c r="E109" s="302"/>
      <c r="F109" s="295" t="s">
        <v>484</v>
      </c>
      <c r="G109" s="295"/>
      <c r="H109" s="280">
        <v>1</v>
      </c>
      <c r="I109" s="281"/>
      <c r="J109"/>
      <c r="K109"/>
      <c r="L109"/>
      <c r="M109"/>
      <c r="N109"/>
      <c r="O109"/>
    </row>
    <row r="110" spans="1:63" s="9" customFormat="1" ht="14.25">
      <c r="A110" s="242"/>
      <c r="B110" s="399" t="s">
        <v>575</v>
      </c>
      <c r="C110" s="399"/>
      <c r="D110" s="399"/>
      <c r="E110" s="399"/>
      <c r="F110" s="295"/>
      <c r="G110" s="295"/>
      <c r="H110" s="280"/>
      <c r="I110" s="281"/>
      <c r="J110"/>
      <c r="K110"/>
      <c r="L110"/>
      <c r="M110"/>
      <c r="N110"/>
      <c r="O110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</row>
    <row r="111" spans="1:63" s="10" customFormat="1" ht="14.25">
      <c r="A111" s="242" t="s">
        <v>479</v>
      </c>
      <c r="B111" s="301" t="s">
        <v>438</v>
      </c>
      <c r="C111" s="301"/>
      <c r="D111" s="301"/>
      <c r="E111" s="301"/>
      <c r="F111" s="295" t="s">
        <v>484</v>
      </c>
      <c r="G111" s="295"/>
      <c r="H111" s="280">
        <v>1</v>
      </c>
      <c r="I111" s="281"/>
      <c r="J111"/>
      <c r="K111"/>
      <c r="L111"/>
      <c r="M111"/>
      <c r="N111"/>
      <c r="O111"/>
    </row>
    <row r="112" spans="1:63" s="10" customFormat="1" ht="14.25">
      <c r="A112" s="242" t="s">
        <v>480</v>
      </c>
      <c r="B112" s="302" t="s">
        <v>439</v>
      </c>
      <c r="C112" s="302"/>
      <c r="D112" s="302"/>
      <c r="E112" s="302"/>
      <c r="F112" s="295" t="s">
        <v>484</v>
      </c>
      <c r="G112" s="295"/>
      <c r="H112" s="280">
        <v>1</v>
      </c>
      <c r="I112" s="281"/>
      <c r="J112"/>
      <c r="K112"/>
      <c r="L112"/>
      <c r="M112"/>
      <c r="N112"/>
      <c r="O112"/>
    </row>
    <row r="113" spans="1:63" s="10" customFormat="1" ht="14.25">
      <c r="A113" s="242" t="s">
        <v>481</v>
      </c>
      <c r="B113" s="302" t="s">
        <v>440</v>
      </c>
      <c r="C113" s="302"/>
      <c r="D113" s="302"/>
      <c r="E113" s="302"/>
      <c r="F113" s="295" t="s">
        <v>484</v>
      </c>
      <c r="G113" s="295"/>
      <c r="H113" s="280">
        <v>1</v>
      </c>
      <c r="I113" s="281"/>
      <c r="J113"/>
      <c r="K113"/>
      <c r="L113"/>
      <c r="M113"/>
      <c r="N113"/>
      <c r="O113"/>
    </row>
    <row r="114" spans="1:63" s="9" customFormat="1" ht="14.25">
      <c r="A114" s="242"/>
      <c r="B114" s="399" t="s">
        <v>576</v>
      </c>
      <c r="C114" s="399"/>
      <c r="D114" s="399"/>
      <c r="E114" s="399"/>
      <c r="F114" s="295"/>
      <c r="G114" s="295"/>
      <c r="H114" s="280"/>
      <c r="I114" s="281"/>
      <c r="J114"/>
      <c r="K114"/>
      <c r="L114"/>
      <c r="M114"/>
      <c r="N114"/>
      <c r="O114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</row>
    <row r="115" spans="1:63" s="10" customFormat="1" ht="14.25">
      <c r="A115" s="242" t="s">
        <v>482</v>
      </c>
      <c r="B115" s="302" t="s">
        <v>441</v>
      </c>
      <c r="C115" s="302"/>
      <c r="D115" s="302"/>
      <c r="E115" s="302"/>
      <c r="F115" s="295" t="s">
        <v>442</v>
      </c>
      <c r="G115" s="295"/>
      <c r="H115" s="280">
        <v>1</v>
      </c>
      <c r="I115" s="281"/>
      <c r="J115"/>
      <c r="K115"/>
      <c r="L115"/>
      <c r="M115"/>
      <c r="N115"/>
      <c r="O115"/>
    </row>
    <row r="116" spans="1:63" s="10" customFormat="1" ht="39.75" customHeight="1">
      <c r="A116" s="242" t="s">
        <v>483</v>
      </c>
      <c r="B116" s="302" t="s">
        <v>443</v>
      </c>
      <c r="C116" s="302"/>
      <c r="D116" s="302"/>
      <c r="E116" s="302"/>
      <c r="F116" s="295" t="s">
        <v>484</v>
      </c>
      <c r="G116" s="295"/>
      <c r="H116" s="280">
        <v>1</v>
      </c>
      <c r="I116" s="281"/>
      <c r="J116"/>
      <c r="K116"/>
      <c r="L116"/>
      <c r="M116"/>
      <c r="N116"/>
      <c r="O116"/>
    </row>
    <row r="117" spans="1:63" s="9" customFormat="1" ht="14.25">
      <c r="A117" s="242"/>
      <c r="B117" s="399" t="s">
        <v>577</v>
      </c>
      <c r="C117" s="399"/>
      <c r="D117" s="399"/>
      <c r="E117" s="399"/>
      <c r="F117" s="295"/>
      <c r="G117" s="295"/>
      <c r="H117" s="280"/>
      <c r="I117" s="281"/>
      <c r="J117"/>
      <c r="K117"/>
      <c r="L117"/>
      <c r="M117"/>
      <c r="N117"/>
      <c r="O117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6"/>
      <c r="BK117" s="136"/>
    </row>
    <row r="118" spans="1:63" s="9" customFormat="1" ht="14.25">
      <c r="A118" s="242"/>
      <c r="B118" s="399" t="s">
        <v>578</v>
      </c>
      <c r="C118" s="399"/>
      <c r="D118" s="399"/>
      <c r="E118" s="399"/>
      <c r="F118" s="295"/>
      <c r="G118" s="295"/>
      <c r="H118" s="280"/>
      <c r="I118" s="281"/>
      <c r="J118"/>
      <c r="K118"/>
      <c r="L118"/>
      <c r="M118"/>
      <c r="N118"/>
      <c r="O118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6"/>
      <c r="BK118" s="136"/>
    </row>
    <row r="119" spans="1:63" s="10" customFormat="1" ht="14.25">
      <c r="A119" s="242" t="s">
        <v>446</v>
      </c>
      <c r="B119" s="302" t="s">
        <v>506</v>
      </c>
      <c r="C119" s="302"/>
      <c r="D119" s="302"/>
      <c r="E119" s="302"/>
      <c r="F119" s="295" t="s">
        <v>16</v>
      </c>
      <c r="G119" s="295"/>
      <c r="H119" s="280">
        <v>4</v>
      </c>
      <c r="I119" s="281"/>
      <c r="J119"/>
      <c r="K119"/>
      <c r="L119"/>
      <c r="M119"/>
      <c r="N119"/>
      <c r="O119"/>
    </row>
    <row r="120" spans="1:63" s="136" customFormat="1">
      <c r="A120" s="242" t="s">
        <v>581</v>
      </c>
      <c r="B120" s="463" t="s">
        <v>507</v>
      </c>
      <c r="C120" s="463"/>
      <c r="D120" s="463"/>
      <c r="E120" s="463"/>
      <c r="F120" s="403" t="s">
        <v>31</v>
      </c>
      <c r="G120" s="403"/>
      <c r="H120" s="497">
        <v>100</v>
      </c>
      <c r="I120" s="498"/>
      <c r="J120"/>
      <c r="K120"/>
      <c r="L120"/>
      <c r="M120"/>
      <c r="N120"/>
      <c r="O120"/>
    </row>
    <row r="121" spans="1:63" s="10" customFormat="1" ht="14.25">
      <c r="A121" s="242" t="s">
        <v>582</v>
      </c>
      <c r="B121" s="302" t="s">
        <v>427</v>
      </c>
      <c r="C121" s="302"/>
      <c r="D121" s="302"/>
      <c r="E121" s="302"/>
      <c r="F121" s="295" t="s">
        <v>17</v>
      </c>
      <c r="G121" s="295"/>
      <c r="H121" s="280">
        <v>1</v>
      </c>
      <c r="I121" s="281"/>
      <c r="J121"/>
      <c r="K121"/>
      <c r="L121"/>
      <c r="M121"/>
      <c r="N121"/>
      <c r="O121"/>
    </row>
    <row r="122" spans="1:63" s="136" customFormat="1">
      <c r="A122" s="242" t="s">
        <v>583</v>
      </c>
      <c r="B122" s="463" t="s">
        <v>508</v>
      </c>
      <c r="C122" s="463"/>
      <c r="D122" s="463"/>
      <c r="E122" s="463"/>
      <c r="F122" s="403" t="s">
        <v>31</v>
      </c>
      <c r="G122" s="403"/>
      <c r="H122" s="497">
        <v>50</v>
      </c>
      <c r="I122" s="498"/>
      <c r="J122"/>
      <c r="K122"/>
      <c r="L122"/>
      <c r="M122"/>
      <c r="N122"/>
      <c r="O122"/>
    </row>
    <row r="123" spans="1:63" s="136" customFormat="1" ht="27.75" customHeight="1">
      <c r="A123" s="242" t="s">
        <v>584</v>
      </c>
      <c r="B123" s="463" t="s">
        <v>509</v>
      </c>
      <c r="C123" s="463"/>
      <c r="D123" s="463"/>
      <c r="E123" s="463"/>
      <c r="F123" s="403" t="s">
        <v>31</v>
      </c>
      <c r="G123" s="403"/>
      <c r="H123" s="497">
        <v>70</v>
      </c>
      <c r="I123" s="498"/>
      <c r="J123"/>
      <c r="K123"/>
      <c r="L123"/>
      <c r="M123"/>
      <c r="N123"/>
      <c r="O123"/>
    </row>
    <row r="124" spans="1:63" s="136" customFormat="1" ht="25.5" customHeight="1">
      <c r="A124" s="242" t="s">
        <v>585</v>
      </c>
      <c r="B124" s="463" t="s">
        <v>510</v>
      </c>
      <c r="C124" s="463"/>
      <c r="D124" s="463"/>
      <c r="E124" s="463"/>
      <c r="F124" s="403" t="s">
        <v>31</v>
      </c>
      <c r="G124" s="403"/>
      <c r="H124" s="497">
        <v>70</v>
      </c>
      <c r="I124" s="498"/>
      <c r="J124"/>
      <c r="K124"/>
      <c r="L124"/>
      <c r="M124"/>
      <c r="N124"/>
      <c r="O124"/>
    </row>
    <row r="125" spans="1:63" s="136" customFormat="1" ht="24.75" customHeight="1">
      <c r="A125" s="242" t="s">
        <v>586</v>
      </c>
      <c r="B125" s="463" t="s">
        <v>511</v>
      </c>
      <c r="C125" s="463"/>
      <c r="D125" s="463"/>
      <c r="E125" s="463"/>
      <c r="F125" s="403" t="s">
        <v>31</v>
      </c>
      <c r="G125" s="403"/>
      <c r="H125" s="497">
        <v>70</v>
      </c>
      <c r="I125" s="498"/>
      <c r="J125"/>
      <c r="K125"/>
      <c r="L125"/>
      <c r="M125"/>
      <c r="N125"/>
      <c r="O125"/>
    </row>
    <row r="126" spans="1:63" s="10" customFormat="1" ht="14.25">
      <c r="A126" s="242" t="s">
        <v>587</v>
      </c>
      <c r="B126" s="302" t="s">
        <v>512</v>
      </c>
      <c r="C126" s="302"/>
      <c r="D126" s="302"/>
      <c r="E126" s="302"/>
      <c r="F126" s="295" t="s">
        <v>16</v>
      </c>
      <c r="G126" s="295"/>
      <c r="H126" s="280">
        <v>2</v>
      </c>
      <c r="I126" s="281"/>
      <c r="J126"/>
      <c r="K126"/>
      <c r="L126"/>
      <c r="M126"/>
      <c r="N126"/>
      <c r="O126"/>
    </row>
    <row r="127" spans="1:63" s="10" customFormat="1" ht="14.25">
      <c r="A127" s="242" t="s">
        <v>588</v>
      </c>
      <c r="B127" s="302" t="s">
        <v>513</v>
      </c>
      <c r="C127" s="302"/>
      <c r="D127" s="302"/>
      <c r="E127" s="302"/>
      <c r="F127" s="295" t="s">
        <v>16</v>
      </c>
      <c r="G127" s="295"/>
      <c r="H127" s="280">
        <v>2</v>
      </c>
      <c r="I127" s="281"/>
      <c r="J127"/>
      <c r="K127"/>
      <c r="L127"/>
      <c r="M127"/>
      <c r="N127"/>
      <c r="O127"/>
    </row>
    <row r="128" spans="1:63" s="10" customFormat="1" ht="14.25">
      <c r="A128" s="242" t="s">
        <v>589</v>
      </c>
      <c r="B128" s="302" t="s">
        <v>514</v>
      </c>
      <c r="C128" s="302"/>
      <c r="D128" s="302"/>
      <c r="E128" s="302"/>
      <c r="F128" s="295" t="s">
        <v>16</v>
      </c>
      <c r="G128" s="295"/>
      <c r="H128" s="280">
        <v>1</v>
      </c>
      <c r="I128" s="281"/>
      <c r="J128"/>
      <c r="K128"/>
      <c r="L128"/>
      <c r="M128"/>
      <c r="N128"/>
      <c r="O128"/>
    </row>
    <row r="129" spans="1:63" s="10" customFormat="1" ht="14.25">
      <c r="A129" s="242" t="s">
        <v>590</v>
      </c>
      <c r="B129" s="302" t="s">
        <v>438</v>
      </c>
      <c r="C129" s="302"/>
      <c r="D129" s="302"/>
      <c r="E129" s="302"/>
      <c r="F129" s="295" t="s">
        <v>484</v>
      </c>
      <c r="G129" s="295"/>
      <c r="H129" s="280">
        <v>1</v>
      </c>
      <c r="I129" s="281"/>
      <c r="J129"/>
      <c r="K129"/>
      <c r="L129"/>
      <c r="M129"/>
      <c r="N129"/>
      <c r="O129"/>
    </row>
    <row r="130" spans="1:63" s="10" customFormat="1" ht="14.25">
      <c r="A130" s="242" t="s">
        <v>591</v>
      </c>
      <c r="B130" s="302" t="s">
        <v>439</v>
      </c>
      <c r="C130" s="302"/>
      <c r="D130" s="302"/>
      <c r="E130" s="302"/>
      <c r="F130" s="295" t="s">
        <v>484</v>
      </c>
      <c r="G130" s="295"/>
      <c r="H130" s="280">
        <v>1</v>
      </c>
      <c r="I130" s="281"/>
      <c r="J130"/>
      <c r="K130"/>
      <c r="L130"/>
      <c r="M130"/>
      <c r="N130"/>
      <c r="O130"/>
    </row>
    <row r="131" spans="1:63" s="10" customFormat="1" ht="36.75" customHeight="1">
      <c r="A131" s="242" t="s">
        <v>592</v>
      </c>
      <c r="B131" s="302" t="s">
        <v>515</v>
      </c>
      <c r="C131" s="302"/>
      <c r="D131" s="302"/>
      <c r="E131" s="302"/>
      <c r="F131" s="295" t="s">
        <v>484</v>
      </c>
      <c r="G131" s="295"/>
      <c r="H131" s="280">
        <v>1</v>
      </c>
      <c r="I131" s="281"/>
      <c r="J131"/>
      <c r="K131"/>
      <c r="L131"/>
      <c r="M131"/>
      <c r="N131"/>
      <c r="O131"/>
    </row>
    <row r="132" spans="1:63" s="9" customFormat="1" ht="14.25">
      <c r="A132" s="242"/>
      <c r="B132" s="499" t="s">
        <v>579</v>
      </c>
      <c r="C132" s="499"/>
      <c r="D132" s="499"/>
      <c r="E132" s="499"/>
      <c r="F132" s="295"/>
      <c r="G132" s="295"/>
      <c r="H132" s="280"/>
      <c r="I132" s="281"/>
      <c r="J132"/>
      <c r="K132"/>
      <c r="L132"/>
      <c r="M132"/>
      <c r="N132"/>
      <c r="O132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</row>
    <row r="133" spans="1:63" s="10" customFormat="1" ht="25.5" customHeight="1">
      <c r="A133" s="242" t="s">
        <v>447</v>
      </c>
      <c r="B133" s="302" t="s">
        <v>516</v>
      </c>
      <c r="C133" s="302"/>
      <c r="D133" s="302"/>
      <c r="E133" s="302"/>
      <c r="F133" s="295" t="s">
        <v>17</v>
      </c>
      <c r="G133" s="295"/>
      <c r="H133" s="280">
        <v>1</v>
      </c>
      <c r="I133" s="281"/>
      <c r="J133"/>
      <c r="K133"/>
      <c r="L133"/>
      <c r="M133"/>
      <c r="N133"/>
      <c r="O133"/>
    </row>
    <row r="134" spans="1:63" s="10" customFormat="1" ht="14.25">
      <c r="A134" s="242" t="s">
        <v>448</v>
      </c>
      <c r="B134" s="302" t="s">
        <v>517</v>
      </c>
      <c r="C134" s="302"/>
      <c r="D134" s="302"/>
      <c r="E134" s="302"/>
      <c r="F134" s="295" t="s">
        <v>16</v>
      </c>
      <c r="G134" s="295"/>
      <c r="H134" s="280">
        <v>2</v>
      </c>
      <c r="I134" s="281"/>
      <c r="J134"/>
      <c r="K134"/>
      <c r="L134"/>
      <c r="M134"/>
      <c r="N134"/>
      <c r="O134"/>
    </row>
    <row r="135" spans="1:63" s="10" customFormat="1" ht="14.25">
      <c r="A135" s="242" t="s">
        <v>308</v>
      </c>
      <c r="B135" s="302" t="s">
        <v>518</v>
      </c>
      <c r="C135" s="302"/>
      <c r="D135" s="302"/>
      <c r="E135" s="302"/>
      <c r="F135" s="295" t="s">
        <v>16</v>
      </c>
      <c r="G135" s="295"/>
      <c r="H135" s="280">
        <v>20</v>
      </c>
      <c r="I135" s="281"/>
      <c r="J135"/>
      <c r="K135"/>
      <c r="L135"/>
      <c r="M135"/>
      <c r="N135"/>
      <c r="O135"/>
    </row>
    <row r="136" spans="1:63" s="10" customFormat="1" ht="14.25">
      <c r="A136" s="242" t="s">
        <v>449</v>
      </c>
      <c r="B136" s="302" t="s">
        <v>519</v>
      </c>
      <c r="C136" s="302"/>
      <c r="D136" s="302"/>
      <c r="E136" s="302"/>
      <c r="F136" s="295" t="s">
        <v>16</v>
      </c>
      <c r="G136" s="295"/>
      <c r="H136" s="280">
        <v>2</v>
      </c>
      <c r="I136" s="281"/>
      <c r="J136"/>
      <c r="K136"/>
      <c r="L136"/>
      <c r="M136"/>
      <c r="N136"/>
      <c r="O136"/>
    </row>
    <row r="137" spans="1:63" s="10" customFormat="1" ht="14.25">
      <c r="A137" s="242" t="s">
        <v>450</v>
      </c>
      <c r="B137" s="302" t="s">
        <v>520</v>
      </c>
      <c r="C137" s="302"/>
      <c r="D137" s="302"/>
      <c r="E137" s="302"/>
      <c r="F137" s="295" t="s">
        <v>16</v>
      </c>
      <c r="G137" s="295"/>
      <c r="H137" s="280">
        <v>2</v>
      </c>
      <c r="I137" s="281"/>
      <c r="J137"/>
      <c r="K137"/>
      <c r="L137"/>
      <c r="M137"/>
      <c r="N137"/>
      <c r="O137"/>
    </row>
    <row r="138" spans="1:63" s="10" customFormat="1" ht="25.5" customHeight="1">
      <c r="A138" s="242" t="s">
        <v>451</v>
      </c>
      <c r="B138" s="302" t="s">
        <v>521</v>
      </c>
      <c r="C138" s="302"/>
      <c r="D138" s="302"/>
      <c r="E138" s="302"/>
      <c r="F138" s="295" t="s">
        <v>16</v>
      </c>
      <c r="G138" s="295"/>
      <c r="H138" s="280">
        <v>1</v>
      </c>
      <c r="I138" s="281"/>
      <c r="J138"/>
      <c r="K138"/>
      <c r="L138"/>
      <c r="M138"/>
      <c r="N138"/>
      <c r="O138"/>
    </row>
    <row r="139" spans="1:63" s="136" customFormat="1">
      <c r="A139" s="242" t="s">
        <v>452</v>
      </c>
      <c r="B139" s="463" t="s">
        <v>507</v>
      </c>
      <c r="C139" s="463"/>
      <c r="D139" s="463"/>
      <c r="E139" s="463"/>
      <c r="F139" s="403" t="s">
        <v>31</v>
      </c>
      <c r="G139" s="403"/>
      <c r="H139" s="497">
        <v>100</v>
      </c>
      <c r="I139" s="498"/>
      <c r="J139"/>
      <c r="K139"/>
      <c r="L139"/>
      <c r="M139"/>
      <c r="N139"/>
      <c r="O139"/>
    </row>
    <row r="140" spans="1:63" s="136" customFormat="1">
      <c r="A140" s="242" t="s">
        <v>453</v>
      </c>
      <c r="B140" s="463" t="s">
        <v>522</v>
      </c>
      <c r="C140" s="463"/>
      <c r="D140" s="463"/>
      <c r="E140" s="463"/>
      <c r="F140" s="403" t="s">
        <v>31</v>
      </c>
      <c r="G140" s="403"/>
      <c r="H140" s="497">
        <v>30</v>
      </c>
      <c r="I140" s="498"/>
      <c r="J140"/>
      <c r="K140"/>
      <c r="L140"/>
      <c r="M140"/>
      <c r="N140"/>
      <c r="O140"/>
    </row>
    <row r="141" spans="1:63" s="136" customFormat="1">
      <c r="A141" s="242" t="s">
        <v>454</v>
      </c>
      <c r="B141" s="463" t="s">
        <v>523</v>
      </c>
      <c r="C141" s="463"/>
      <c r="D141" s="463"/>
      <c r="E141" s="463"/>
      <c r="F141" s="403" t="s">
        <v>31</v>
      </c>
      <c r="G141" s="403"/>
      <c r="H141" s="497">
        <v>30</v>
      </c>
      <c r="I141" s="498"/>
      <c r="J141"/>
      <c r="K141"/>
      <c r="L141"/>
      <c r="M141"/>
      <c r="N141"/>
      <c r="O141"/>
    </row>
    <row r="142" spans="1:63" s="136" customFormat="1">
      <c r="A142" s="242" t="s">
        <v>455</v>
      </c>
      <c r="B142" s="463" t="s">
        <v>425</v>
      </c>
      <c r="C142" s="463"/>
      <c r="D142" s="463"/>
      <c r="E142" s="463"/>
      <c r="F142" s="403" t="s">
        <v>31</v>
      </c>
      <c r="G142" s="403"/>
      <c r="H142" s="497">
        <v>50</v>
      </c>
      <c r="I142" s="498"/>
      <c r="J142"/>
      <c r="K142"/>
      <c r="L142"/>
      <c r="M142"/>
      <c r="N142"/>
      <c r="O142"/>
    </row>
    <row r="143" spans="1:63" s="10" customFormat="1" ht="14.25">
      <c r="A143" s="242" t="s">
        <v>456</v>
      </c>
      <c r="B143" s="302" t="s">
        <v>427</v>
      </c>
      <c r="C143" s="302"/>
      <c r="D143" s="302"/>
      <c r="E143" s="302"/>
      <c r="F143" s="295" t="s">
        <v>17</v>
      </c>
      <c r="G143" s="295"/>
      <c r="H143" s="280">
        <v>1</v>
      </c>
      <c r="I143" s="281"/>
      <c r="J143"/>
      <c r="K143"/>
      <c r="L143"/>
      <c r="M143"/>
      <c r="N143"/>
      <c r="O143"/>
    </row>
    <row r="144" spans="1:63" s="136" customFormat="1" ht="26.25" customHeight="1">
      <c r="A144" s="242" t="s">
        <v>457</v>
      </c>
      <c r="B144" s="463" t="s">
        <v>524</v>
      </c>
      <c r="C144" s="463"/>
      <c r="D144" s="463"/>
      <c r="E144" s="463"/>
      <c r="F144" s="403" t="s">
        <v>31</v>
      </c>
      <c r="G144" s="403"/>
      <c r="H144" s="497">
        <v>800</v>
      </c>
      <c r="I144" s="498"/>
      <c r="J144"/>
      <c r="K144"/>
      <c r="L144"/>
      <c r="M144"/>
      <c r="N144"/>
      <c r="O144"/>
    </row>
    <row r="145" spans="1:63" s="136" customFormat="1" ht="24.75" customHeight="1">
      <c r="A145" s="242" t="s">
        <v>458</v>
      </c>
      <c r="B145" s="463" t="s">
        <v>525</v>
      </c>
      <c r="C145" s="463"/>
      <c r="D145" s="463"/>
      <c r="E145" s="463"/>
      <c r="F145" s="403" t="s">
        <v>31</v>
      </c>
      <c r="G145" s="403"/>
      <c r="H145" s="497">
        <v>120</v>
      </c>
      <c r="I145" s="498"/>
      <c r="J145"/>
      <c r="K145"/>
      <c r="L145"/>
      <c r="M145"/>
      <c r="N145"/>
      <c r="O145"/>
    </row>
    <row r="146" spans="1:63" s="10" customFormat="1" ht="14.25">
      <c r="A146" s="242" t="s">
        <v>459</v>
      </c>
      <c r="B146" s="301" t="s">
        <v>526</v>
      </c>
      <c r="C146" s="301"/>
      <c r="D146" s="301"/>
      <c r="E146" s="301"/>
      <c r="F146" s="295" t="s">
        <v>484</v>
      </c>
      <c r="G146" s="295"/>
      <c r="H146" s="280">
        <v>1</v>
      </c>
      <c r="I146" s="281"/>
      <c r="J146"/>
      <c r="K146"/>
      <c r="L146"/>
      <c r="M146"/>
      <c r="N146"/>
      <c r="O146"/>
    </row>
    <row r="147" spans="1:63" s="10" customFormat="1" ht="14.25">
      <c r="A147" s="242" t="s">
        <v>460</v>
      </c>
      <c r="B147" s="301" t="s">
        <v>438</v>
      </c>
      <c r="C147" s="301"/>
      <c r="D147" s="301"/>
      <c r="E147" s="301"/>
      <c r="F147" s="295" t="s">
        <v>484</v>
      </c>
      <c r="G147" s="295"/>
      <c r="H147" s="280">
        <v>1</v>
      </c>
      <c r="I147" s="281"/>
      <c r="J147"/>
      <c r="K147"/>
      <c r="L147"/>
      <c r="M147"/>
      <c r="N147"/>
      <c r="O147"/>
    </row>
    <row r="148" spans="1:63" s="10" customFormat="1" ht="14.25">
      <c r="A148" s="242" t="s">
        <v>461</v>
      </c>
      <c r="B148" s="302" t="s">
        <v>439</v>
      </c>
      <c r="C148" s="302"/>
      <c r="D148" s="302"/>
      <c r="E148" s="302"/>
      <c r="F148" s="295" t="s">
        <v>484</v>
      </c>
      <c r="G148" s="295"/>
      <c r="H148" s="280">
        <v>1</v>
      </c>
      <c r="I148" s="281"/>
      <c r="J148"/>
      <c r="K148"/>
      <c r="L148"/>
      <c r="M148"/>
      <c r="N148"/>
      <c r="O148"/>
    </row>
    <row r="149" spans="1:63" s="10" customFormat="1" ht="14.25">
      <c r="A149" s="242" t="s">
        <v>462</v>
      </c>
      <c r="B149" s="302" t="s">
        <v>441</v>
      </c>
      <c r="C149" s="302"/>
      <c r="D149" s="302"/>
      <c r="E149" s="302"/>
      <c r="F149" s="295" t="s">
        <v>442</v>
      </c>
      <c r="G149" s="295"/>
      <c r="H149" s="280">
        <v>1</v>
      </c>
      <c r="I149" s="281"/>
      <c r="J149"/>
      <c r="K149"/>
      <c r="L149"/>
      <c r="M149"/>
      <c r="N149"/>
      <c r="O149"/>
    </row>
    <row r="150" spans="1:63" s="10" customFormat="1" ht="36" customHeight="1">
      <c r="A150" s="242" t="s">
        <v>463</v>
      </c>
      <c r="B150" s="302" t="s">
        <v>515</v>
      </c>
      <c r="C150" s="302"/>
      <c r="D150" s="302"/>
      <c r="E150" s="302"/>
      <c r="F150" s="295" t="s">
        <v>484</v>
      </c>
      <c r="G150" s="295"/>
      <c r="H150" s="280">
        <v>1</v>
      </c>
      <c r="I150" s="281"/>
      <c r="J150"/>
      <c r="K150"/>
      <c r="L150"/>
      <c r="M150"/>
      <c r="N150"/>
      <c r="O150"/>
    </row>
    <row r="151" spans="1:63" s="9" customFormat="1" ht="14.25">
      <c r="A151" s="242"/>
      <c r="B151" s="499" t="s">
        <v>580</v>
      </c>
      <c r="C151" s="499"/>
      <c r="D151" s="499"/>
      <c r="E151" s="499"/>
      <c r="F151" s="295"/>
      <c r="G151" s="295"/>
      <c r="H151" s="280"/>
      <c r="I151" s="281"/>
      <c r="J151"/>
      <c r="K151"/>
      <c r="L151"/>
      <c r="M151"/>
      <c r="N151"/>
      <c r="O151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36"/>
      <c r="BJ151" s="136"/>
      <c r="BK151" s="136"/>
    </row>
    <row r="152" spans="1:63" s="10" customFormat="1" ht="14.25">
      <c r="A152" s="242" t="s">
        <v>464</v>
      </c>
      <c r="B152" s="302" t="s">
        <v>527</v>
      </c>
      <c r="C152" s="302"/>
      <c r="D152" s="302"/>
      <c r="E152" s="302"/>
      <c r="F152" s="295" t="s">
        <v>17</v>
      </c>
      <c r="G152" s="295"/>
      <c r="H152" s="280">
        <v>1</v>
      </c>
      <c r="I152" s="281"/>
      <c r="J152"/>
      <c r="K152"/>
      <c r="L152"/>
      <c r="M152"/>
      <c r="N152"/>
      <c r="O152"/>
    </row>
    <row r="153" spans="1:63" s="10" customFormat="1" ht="14.25">
      <c r="A153" s="242" t="s">
        <v>465</v>
      </c>
      <c r="B153" s="302" t="s">
        <v>528</v>
      </c>
      <c r="C153" s="302"/>
      <c r="D153" s="302"/>
      <c r="E153" s="302"/>
      <c r="F153" s="295" t="s">
        <v>17</v>
      </c>
      <c r="G153" s="295"/>
      <c r="H153" s="280">
        <v>1</v>
      </c>
      <c r="I153" s="281"/>
      <c r="J153"/>
      <c r="K153"/>
      <c r="L153"/>
      <c r="M153"/>
      <c r="N153"/>
      <c r="O153"/>
    </row>
    <row r="154" spans="1:63" s="10" customFormat="1" ht="14.25">
      <c r="A154" s="242" t="s">
        <v>466</v>
      </c>
      <c r="B154" s="302" t="s">
        <v>529</v>
      </c>
      <c r="C154" s="302"/>
      <c r="D154" s="302"/>
      <c r="E154" s="302"/>
      <c r="F154" s="295" t="s">
        <v>16</v>
      </c>
      <c r="G154" s="295"/>
      <c r="H154" s="280">
        <v>1</v>
      </c>
      <c r="I154" s="281"/>
      <c r="J154"/>
      <c r="K154"/>
      <c r="L154"/>
      <c r="M154"/>
      <c r="N154"/>
      <c r="O154"/>
    </row>
    <row r="155" spans="1:63" s="10" customFormat="1" ht="14.25">
      <c r="A155" s="242" t="s">
        <v>467</v>
      </c>
      <c r="B155" s="302" t="s">
        <v>530</v>
      </c>
      <c r="C155" s="302"/>
      <c r="D155" s="302"/>
      <c r="E155" s="302"/>
      <c r="F155" s="295" t="s">
        <v>16</v>
      </c>
      <c r="G155" s="295"/>
      <c r="H155" s="280">
        <v>1</v>
      </c>
      <c r="I155" s="281"/>
      <c r="J155"/>
      <c r="K155"/>
      <c r="L155"/>
      <c r="M155"/>
      <c r="N155"/>
      <c r="O155"/>
    </row>
    <row r="156" spans="1:63" s="10" customFormat="1" ht="14.25">
      <c r="A156" s="242" t="s">
        <v>468</v>
      </c>
      <c r="B156" s="302" t="s">
        <v>531</v>
      </c>
      <c r="C156" s="302"/>
      <c r="D156" s="302"/>
      <c r="E156" s="302"/>
      <c r="F156" s="295" t="s">
        <v>16</v>
      </c>
      <c r="G156" s="295"/>
      <c r="H156" s="280">
        <v>1</v>
      </c>
      <c r="I156" s="281"/>
      <c r="J156"/>
      <c r="K156"/>
      <c r="L156"/>
      <c r="M156"/>
      <c r="N156"/>
      <c r="O156"/>
    </row>
    <row r="157" spans="1:63" s="10" customFormat="1" ht="14.25">
      <c r="A157" s="242" t="s">
        <v>593</v>
      </c>
      <c r="B157" s="302" t="s">
        <v>532</v>
      </c>
      <c r="C157" s="302"/>
      <c r="D157" s="302"/>
      <c r="E157" s="302"/>
      <c r="F157" s="295" t="s">
        <v>16</v>
      </c>
      <c r="G157" s="295"/>
      <c r="H157" s="280">
        <v>4</v>
      </c>
      <c r="I157" s="281"/>
      <c r="J157"/>
      <c r="K157"/>
      <c r="L157"/>
      <c r="M157"/>
      <c r="N157"/>
      <c r="O157"/>
    </row>
    <row r="158" spans="1:63" s="10" customFormat="1" ht="14.25">
      <c r="A158" s="242" t="s">
        <v>594</v>
      </c>
      <c r="B158" s="302" t="s">
        <v>533</v>
      </c>
      <c r="C158" s="302"/>
      <c r="D158" s="302"/>
      <c r="E158" s="302"/>
      <c r="F158" s="295" t="s">
        <v>16</v>
      </c>
      <c r="G158" s="295"/>
      <c r="H158" s="280">
        <v>1</v>
      </c>
      <c r="I158" s="281"/>
      <c r="J158"/>
      <c r="K158"/>
      <c r="L158"/>
      <c r="M158"/>
      <c r="N158"/>
      <c r="O158"/>
    </row>
    <row r="159" spans="1:63" s="10" customFormat="1" ht="24" customHeight="1">
      <c r="A159" s="242" t="s">
        <v>595</v>
      </c>
      <c r="B159" s="302" t="s">
        <v>534</v>
      </c>
      <c r="C159" s="302"/>
      <c r="D159" s="302"/>
      <c r="E159" s="302"/>
      <c r="F159" s="295" t="s">
        <v>16</v>
      </c>
      <c r="G159" s="295"/>
      <c r="H159" s="280">
        <v>1</v>
      </c>
      <c r="I159" s="281"/>
      <c r="J159"/>
      <c r="K159"/>
      <c r="L159"/>
      <c r="M159"/>
      <c r="N159"/>
      <c r="O159"/>
    </row>
    <row r="160" spans="1:63" s="10" customFormat="1" ht="14.25">
      <c r="A160" s="242" t="s">
        <v>596</v>
      </c>
      <c r="B160" s="302" t="s">
        <v>535</v>
      </c>
      <c r="C160" s="302"/>
      <c r="D160" s="302"/>
      <c r="E160" s="302"/>
      <c r="F160" s="295" t="s">
        <v>16</v>
      </c>
      <c r="G160" s="295"/>
      <c r="H160" s="280">
        <v>1</v>
      </c>
      <c r="I160" s="281"/>
      <c r="J160"/>
      <c r="K160"/>
      <c r="L160"/>
      <c r="M160"/>
      <c r="N160"/>
      <c r="O160"/>
    </row>
    <row r="161" spans="1:31" s="10" customFormat="1" ht="24" customHeight="1">
      <c r="A161" s="242" t="s">
        <v>597</v>
      </c>
      <c r="B161" s="302" t="s">
        <v>536</v>
      </c>
      <c r="C161" s="302"/>
      <c r="D161" s="302"/>
      <c r="E161" s="302"/>
      <c r="F161" s="295" t="s">
        <v>16</v>
      </c>
      <c r="G161" s="295"/>
      <c r="H161" s="280">
        <v>11</v>
      </c>
      <c r="I161" s="281"/>
      <c r="J161"/>
      <c r="K161"/>
      <c r="L161"/>
      <c r="M161"/>
      <c r="N161"/>
      <c r="O161"/>
    </row>
    <row r="162" spans="1:31" s="10" customFormat="1" ht="14.25">
      <c r="A162" s="242" t="s">
        <v>598</v>
      </c>
      <c r="B162" s="302" t="s">
        <v>537</v>
      </c>
      <c r="C162" s="302"/>
      <c r="D162" s="302"/>
      <c r="E162" s="302"/>
      <c r="F162" s="295" t="s">
        <v>16</v>
      </c>
      <c r="G162" s="295"/>
      <c r="H162" s="280">
        <v>1</v>
      </c>
      <c r="I162" s="281"/>
      <c r="J162"/>
      <c r="K162"/>
      <c r="L162"/>
      <c r="M162"/>
      <c r="N162"/>
      <c r="O162"/>
    </row>
    <row r="163" spans="1:31" s="136" customFormat="1">
      <c r="A163" s="242" t="s">
        <v>599</v>
      </c>
      <c r="B163" s="463" t="s">
        <v>424</v>
      </c>
      <c r="C163" s="463"/>
      <c r="D163" s="463"/>
      <c r="E163" s="463"/>
      <c r="F163" s="403" t="s">
        <v>31</v>
      </c>
      <c r="G163" s="403"/>
      <c r="H163" s="497">
        <v>50</v>
      </c>
      <c r="I163" s="498"/>
      <c r="J163"/>
      <c r="K163"/>
      <c r="L163"/>
      <c r="M163"/>
      <c r="N163"/>
      <c r="O163"/>
    </row>
    <row r="164" spans="1:31" s="136" customFormat="1">
      <c r="A164" s="242" t="s">
        <v>600</v>
      </c>
      <c r="B164" s="463" t="s">
        <v>425</v>
      </c>
      <c r="C164" s="463"/>
      <c r="D164" s="463"/>
      <c r="E164" s="463"/>
      <c r="F164" s="403" t="s">
        <v>31</v>
      </c>
      <c r="G164" s="403"/>
      <c r="H164" s="497">
        <v>150</v>
      </c>
      <c r="I164" s="498"/>
      <c r="J164"/>
      <c r="K164"/>
      <c r="L164"/>
      <c r="M164"/>
      <c r="N164"/>
      <c r="O164"/>
    </row>
    <row r="165" spans="1:31" s="10" customFormat="1" ht="14.25">
      <c r="A165" s="242" t="s">
        <v>601</v>
      </c>
      <c r="B165" s="302" t="s">
        <v>427</v>
      </c>
      <c r="C165" s="302"/>
      <c r="D165" s="302"/>
      <c r="E165" s="302"/>
      <c r="F165" s="295" t="s">
        <v>17</v>
      </c>
      <c r="G165" s="295"/>
      <c r="H165" s="280">
        <v>1</v>
      </c>
      <c r="I165" s="281"/>
      <c r="J165"/>
      <c r="K165"/>
      <c r="L165"/>
      <c r="M165"/>
      <c r="N165"/>
      <c r="O165"/>
    </row>
    <row r="166" spans="1:31" s="136" customFormat="1">
      <c r="A166" s="242" t="s">
        <v>602</v>
      </c>
      <c r="B166" s="463" t="s">
        <v>538</v>
      </c>
      <c r="C166" s="463"/>
      <c r="D166" s="463"/>
      <c r="E166" s="463"/>
      <c r="F166" s="403" t="s">
        <v>31</v>
      </c>
      <c r="G166" s="403"/>
      <c r="H166" s="497">
        <v>200</v>
      </c>
      <c r="I166" s="498"/>
      <c r="J166"/>
      <c r="K166"/>
      <c r="L166"/>
      <c r="M166"/>
      <c r="N166"/>
      <c r="O166"/>
    </row>
    <row r="167" spans="1:31" s="136" customFormat="1">
      <c r="A167" s="242" t="s">
        <v>603</v>
      </c>
      <c r="B167" s="463" t="s">
        <v>539</v>
      </c>
      <c r="C167" s="463"/>
      <c r="D167" s="463"/>
      <c r="E167" s="463"/>
      <c r="F167" s="403" t="s">
        <v>31</v>
      </c>
      <c r="G167" s="403"/>
      <c r="H167" s="497">
        <v>200</v>
      </c>
      <c r="I167" s="498"/>
      <c r="J167"/>
      <c r="K167"/>
      <c r="L167"/>
      <c r="M167"/>
      <c r="N167"/>
      <c r="O167"/>
    </row>
    <row r="168" spans="1:31" s="10" customFormat="1" ht="14.25">
      <c r="A168" s="242" t="s">
        <v>604</v>
      </c>
      <c r="B168" s="301" t="s">
        <v>438</v>
      </c>
      <c r="C168" s="301"/>
      <c r="D168" s="301"/>
      <c r="E168" s="301"/>
      <c r="F168" s="295" t="s">
        <v>484</v>
      </c>
      <c r="G168" s="295"/>
      <c r="H168" s="280">
        <v>1</v>
      </c>
      <c r="I168" s="281"/>
      <c r="J168"/>
      <c r="K168"/>
      <c r="L168"/>
      <c r="M168"/>
      <c r="N168"/>
      <c r="O168"/>
    </row>
    <row r="169" spans="1:31" s="10" customFormat="1" ht="14.25">
      <c r="A169" s="242" t="s">
        <v>605</v>
      </c>
      <c r="B169" s="302" t="s">
        <v>439</v>
      </c>
      <c r="C169" s="302"/>
      <c r="D169" s="302"/>
      <c r="E169" s="302"/>
      <c r="F169" s="295" t="s">
        <v>484</v>
      </c>
      <c r="G169" s="295"/>
      <c r="H169" s="280">
        <v>1</v>
      </c>
      <c r="I169" s="281"/>
      <c r="J169"/>
      <c r="K169"/>
      <c r="L169"/>
      <c r="M169"/>
      <c r="N169"/>
      <c r="O169"/>
    </row>
    <row r="170" spans="1:31" s="10" customFormat="1" ht="14.25">
      <c r="A170" s="242" t="s">
        <v>606</v>
      </c>
      <c r="B170" s="302" t="s">
        <v>441</v>
      </c>
      <c r="C170" s="302"/>
      <c r="D170" s="302"/>
      <c r="E170" s="302"/>
      <c r="F170" s="295" t="s">
        <v>442</v>
      </c>
      <c r="G170" s="295"/>
      <c r="H170" s="280">
        <v>1</v>
      </c>
      <c r="I170" s="281"/>
      <c r="J170"/>
      <c r="K170"/>
      <c r="L170"/>
      <c r="M170"/>
      <c r="N170"/>
      <c r="O170"/>
    </row>
    <row r="171" spans="1:31" s="10" customFormat="1" ht="35.25" customHeight="1">
      <c r="A171" s="242" t="s">
        <v>607</v>
      </c>
      <c r="B171" s="302" t="s">
        <v>515</v>
      </c>
      <c r="C171" s="302"/>
      <c r="D171" s="302"/>
      <c r="E171" s="302"/>
      <c r="F171" s="295" t="s">
        <v>484</v>
      </c>
      <c r="G171" s="295"/>
      <c r="H171" s="280">
        <v>1</v>
      </c>
      <c r="I171" s="281"/>
      <c r="J171"/>
      <c r="K171"/>
      <c r="L171"/>
      <c r="M171"/>
      <c r="N171"/>
      <c r="O171"/>
    </row>
    <row r="172" spans="1:31" s="10" customFormat="1" ht="15" thickBot="1">
      <c r="A172" s="234">
        <v>8</v>
      </c>
      <c r="B172" s="297" t="s">
        <v>32</v>
      </c>
      <c r="C172" s="297"/>
      <c r="D172" s="297"/>
      <c r="E172" s="297"/>
      <c r="F172" s="296" t="s">
        <v>23</v>
      </c>
      <c r="G172" s="296"/>
      <c r="H172" s="292">
        <v>1</v>
      </c>
      <c r="I172" s="293"/>
      <c r="J172"/>
      <c r="K172"/>
      <c r="L172"/>
      <c r="M172"/>
      <c r="N172"/>
      <c r="O172"/>
    </row>
    <row r="173" spans="1:31" s="11" customFormat="1" ht="14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s="11" customFormat="1" ht="14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s="11" customFormat="1" ht="14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s="11" customFormat="1" ht="9.7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 s="10"/>
      <c r="Q176" s="146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s="11" customFormat="1" ht="11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 s="10"/>
      <c r="Q177" s="146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s="11" customFormat="1" ht="14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 s="10"/>
      <c r="Q178" s="146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s="11" customFormat="1" ht="14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 s="10"/>
      <c r="Q179" s="146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3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3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3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</sheetData>
  <autoFilter ref="F59:F116"/>
  <mergeCells count="486">
    <mergeCell ref="B172:E172"/>
    <mergeCell ref="F172:G172"/>
    <mergeCell ref="H172:I172"/>
    <mergeCell ref="B170:E170"/>
    <mergeCell ref="F170:G170"/>
    <mergeCell ref="H170:I170"/>
    <mergeCell ref="B171:E171"/>
    <mergeCell ref="F171:G171"/>
    <mergeCell ref="H171:I171"/>
    <mergeCell ref="B168:E168"/>
    <mergeCell ref="F168:G168"/>
    <mergeCell ref="H168:I168"/>
    <mergeCell ref="B169:E169"/>
    <mergeCell ref="F169:G169"/>
    <mergeCell ref="H169:I169"/>
    <mergeCell ref="B166:E166"/>
    <mergeCell ref="F166:G166"/>
    <mergeCell ref="H166:I166"/>
    <mergeCell ref="B167:E167"/>
    <mergeCell ref="F167:G167"/>
    <mergeCell ref="H167:I167"/>
    <mergeCell ref="B164:E164"/>
    <mergeCell ref="F164:G164"/>
    <mergeCell ref="H164:I164"/>
    <mergeCell ref="B165:E165"/>
    <mergeCell ref="F165:G165"/>
    <mergeCell ref="H165:I165"/>
    <mergeCell ref="B162:E162"/>
    <mergeCell ref="F162:G162"/>
    <mergeCell ref="H162:I162"/>
    <mergeCell ref="B163:E163"/>
    <mergeCell ref="F163:G163"/>
    <mergeCell ref="H163:I163"/>
    <mergeCell ref="B160:E160"/>
    <mergeCell ref="F160:G160"/>
    <mergeCell ref="H160:I160"/>
    <mergeCell ref="B161:E161"/>
    <mergeCell ref="F161:G161"/>
    <mergeCell ref="H161:I161"/>
    <mergeCell ref="B158:E158"/>
    <mergeCell ref="F158:G158"/>
    <mergeCell ref="H158:I158"/>
    <mergeCell ref="B159:E159"/>
    <mergeCell ref="F159:G159"/>
    <mergeCell ref="H159:I159"/>
    <mergeCell ref="B156:E156"/>
    <mergeCell ref="F156:G156"/>
    <mergeCell ref="H156:I156"/>
    <mergeCell ref="B157:E157"/>
    <mergeCell ref="F157:G157"/>
    <mergeCell ref="H157:I157"/>
    <mergeCell ref="B154:E154"/>
    <mergeCell ref="F154:G154"/>
    <mergeCell ref="H154:I154"/>
    <mergeCell ref="B155:E155"/>
    <mergeCell ref="F155:G155"/>
    <mergeCell ref="H155:I155"/>
    <mergeCell ref="B152:E152"/>
    <mergeCell ref="F152:G152"/>
    <mergeCell ref="H152:I152"/>
    <mergeCell ref="B153:E153"/>
    <mergeCell ref="F153:G153"/>
    <mergeCell ref="H153:I153"/>
    <mergeCell ref="B150:E150"/>
    <mergeCell ref="F150:G150"/>
    <mergeCell ref="H150:I150"/>
    <mergeCell ref="B151:E151"/>
    <mergeCell ref="F151:G151"/>
    <mergeCell ref="H151:I151"/>
    <mergeCell ref="B148:E148"/>
    <mergeCell ref="F148:G148"/>
    <mergeCell ref="H148:I148"/>
    <mergeCell ref="B149:E149"/>
    <mergeCell ref="F149:G149"/>
    <mergeCell ref="H149:I149"/>
    <mergeCell ref="B146:E146"/>
    <mergeCell ref="F146:G146"/>
    <mergeCell ref="H146:I146"/>
    <mergeCell ref="B147:E147"/>
    <mergeCell ref="F147:G147"/>
    <mergeCell ref="H147:I147"/>
    <mergeCell ref="B144:E144"/>
    <mergeCell ref="F144:G144"/>
    <mergeCell ref="H144:I144"/>
    <mergeCell ref="B145:E145"/>
    <mergeCell ref="F145:G145"/>
    <mergeCell ref="H145:I145"/>
    <mergeCell ref="B142:E142"/>
    <mergeCell ref="F142:G142"/>
    <mergeCell ref="H142:I142"/>
    <mergeCell ref="B143:E143"/>
    <mergeCell ref="F143:G143"/>
    <mergeCell ref="H143:I143"/>
    <mergeCell ref="B140:E140"/>
    <mergeCell ref="F140:G140"/>
    <mergeCell ref="H140:I140"/>
    <mergeCell ref="B141:E141"/>
    <mergeCell ref="F141:G141"/>
    <mergeCell ref="H141:I141"/>
    <mergeCell ref="B138:E138"/>
    <mergeCell ref="F138:G138"/>
    <mergeCell ref="H138:I138"/>
    <mergeCell ref="B139:E139"/>
    <mergeCell ref="F139:G139"/>
    <mergeCell ref="H139:I139"/>
    <mergeCell ref="B136:E136"/>
    <mergeCell ref="F136:G136"/>
    <mergeCell ref="H136:I136"/>
    <mergeCell ref="B137:E137"/>
    <mergeCell ref="F137:G137"/>
    <mergeCell ref="H137:I137"/>
    <mergeCell ref="B134:E134"/>
    <mergeCell ref="F134:G134"/>
    <mergeCell ref="H134:I134"/>
    <mergeCell ref="B135:E135"/>
    <mergeCell ref="F135:G135"/>
    <mergeCell ref="H135:I135"/>
    <mergeCell ref="B132:E132"/>
    <mergeCell ref="F132:G132"/>
    <mergeCell ref="H132:I132"/>
    <mergeCell ref="B133:E133"/>
    <mergeCell ref="F133:G133"/>
    <mergeCell ref="H133:I133"/>
    <mergeCell ref="B130:E130"/>
    <mergeCell ref="F130:G130"/>
    <mergeCell ref="H130:I130"/>
    <mergeCell ref="B131:E131"/>
    <mergeCell ref="F131:G131"/>
    <mergeCell ref="H131:I131"/>
    <mergeCell ref="B128:E128"/>
    <mergeCell ref="F128:G128"/>
    <mergeCell ref="H128:I128"/>
    <mergeCell ref="B129:E129"/>
    <mergeCell ref="F129:G129"/>
    <mergeCell ref="H129:I129"/>
    <mergeCell ref="B126:E126"/>
    <mergeCell ref="F126:G126"/>
    <mergeCell ref="H126:I126"/>
    <mergeCell ref="B127:E127"/>
    <mergeCell ref="F127:G127"/>
    <mergeCell ref="H127:I127"/>
    <mergeCell ref="B124:E124"/>
    <mergeCell ref="F124:G124"/>
    <mergeCell ref="H124:I124"/>
    <mergeCell ref="B125:E125"/>
    <mergeCell ref="F125:G125"/>
    <mergeCell ref="H125:I125"/>
    <mergeCell ref="B122:E122"/>
    <mergeCell ref="B123:E123"/>
    <mergeCell ref="F122:G122"/>
    <mergeCell ref="F123:G123"/>
    <mergeCell ref="H122:I122"/>
    <mergeCell ref="H123:I123"/>
    <mergeCell ref="B120:E120"/>
    <mergeCell ref="F120:G120"/>
    <mergeCell ref="H120:I120"/>
    <mergeCell ref="H121:I121"/>
    <mergeCell ref="F121:G121"/>
    <mergeCell ref="B121:E121"/>
    <mergeCell ref="B118:E118"/>
    <mergeCell ref="F118:G118"/>
    <mergeCell ref="H118:I118"/>
    <mergeCell ref="F119:G119"/>
    <mergeCell ref="H119:I119"/>
    <mergeCell ref="B119:E119"/>
    <mergeCell ref="H116:I116"/>
    <mergeCell ref="F116:G116"/>
    <mergeCell ref="B116:E116"/>
    <mergeCell ref="B117:E117"/>
    <mergeCell ref="F117:G117"/>
    <mergeCell ref="H117:I117"/>
    <mergeCell ref="B114:E114"/>
    <mergeCell ref="F114:G114"/>
    <mergeCell ref="F115:G115"/>
    <mergeCell ref="H114:I114"/>
    <mergeCell ref="H115:I115"/>
    <mergeCell ref="B115:E115"/>
    <mergeCell ref="F112:G112"/>
    <mergeCell ref="H112:I112"/>
    <mergeCell ref="F113:G113"/>
    <mergeCell ref="H113:I113"/>
    <mergeCell ref="B112:E112"/>
    <mergeCell ref="B113:E113"/>
    <mergeCell ref="B110:E110"/>
    <mergeCell ref="F110:G110"/>
    <mergeCell ref="H110:I110"/>
    <mergeCell ref="B111:E111"/>
    <mergeCell ref="F111:G111"/>
    <mergeCell ref="H111:I111"/>
    <mergeCell ref="F108:G108"/>
    <mergeCell ref="F109:G109"/>
    <mergeCell ref="H108:I108"/>
    <mergeCell ref="H109:I10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H105:I105"/>
    <mergeCell ref="H106:I106"/>
    <mergeCell ref="F105:G105"/>
    <mergeCell ref="F106:G106"/>
    <mergeCell ref="F107:G107"/>
    <mergeCell ref="H107:I107"/>
    <mergeCell ref="H100:I100"/>
    <mergeCell ref="H101:I101"/>
    <mergeCell ref="H102:I102"/>
    <mergeCell ref="H103:I103"/>
    <mergeCell ref="H104:I104"/>
    <mergeCell ref="F100:G100"/>
    <mergeCell ref="F101:G101"/>
    <mergeCell ref="F102:G102"/>
    <mergeCell ref="F103:G103"/>
    <mergeCell ref="F104:G104"/>
    <mergeCell ref="B99:E99"/>
    <mergeCell ref="F97:G97"/>
    <mergeCell ref="F98:G98"/>
    <mergeCell ref="F99:G99"/>
    <mergeCell ref="H97:I97"/>
    <mergeCell ref="H98:I98"/>
    <mergeCell ref="H99:I99"/>
    <mergeCell ref="B96:E96"/>
    <mergeCell ref="F96:G96"/>
    <mergeCell ref="H96:I96"/>
    <mergeCell ref="B97:E97"/>
    <mergeCell ref="B98:E98"/>
    <mergeCell ref="B94:E94"/>
    <mergeCell ref="F94:G94"/>
    <mergeCell ref="H94:I94"/>
    <mergeCell ref="B95:E95"/>
    <mergeCell ref="F95:G95"/>
    <mergeCell ref="H95:I95"/>
    <mergeCell ref="B92:E92"/>
    <mergeCell ref="F92:G92"/>
    <mergeCell ref="H92:I92"/>
    <mergeCell ref="B93:E93"/>
    <mergeCell ref="F93:G93"/>
    <mergeCell ref="H93:I93"/>
    <mergeCell ref="B90:E90"/>
    <mergeCell ref="F90:G90"/>
    <mergeCell ref="H90:I90"/>
    <mergeCell ref="B91:E91"/>
    <mergeCell ref="F91:G91"/>
    <mergeCell ref="H91:I91"/>
    <mergeCell ref="B88:E88"/>
    <mergeCell ref="F88:G88"/>
    <mergeCell ref="H88:I88"/>
    <mergeCell ref="B89:E89"/>
    <mergeCell ref="F89:G89"/>
    <mergeCell ref="H89:I89"/>
    <mergeCell ref="B86:E86"/>
    <mergeCell ref="F86:G86"/>
    <mergeCell ref="H86:I86"/>
    <mergeCell ref="B87:E87"/>
    <mergeCell ref="F87:G87"/>
    <mergeCell ref="H87:I87"/>
    <mergeCell ref="B84:E84"/>
    <mergeCell ref="F84:G84"/>
    <mergeCell ref="H84:I84"/>
    <mergeCell ref="B85:E85"/>
    <mergeCell ref="F85:G85"/>
    <mergeCell ref="H85:I85"/>
    <mergeCell ref="B81:E81"/>
    <mergeCell ref="B82:E82"/>
    <mergeCell ref="F82:G82"/>
    <mergeCell ref="H82:I82"/>
    <mergeCell ref="B83:E83"/>
    <mergeCell ref="F83:G83"/>
    <mergeCell ref="H83:I83"/>
    <mergeCell ref="F81:G81"/>
    <mergeCell ref="H75:I75"/>
    <mergeCell ref="H76:I76"/>
    <mergeCell ref="H77:I77"/>
    <mergeCell ref="H78:I78"/>
    <mergeCell ref="H79:I79"/>
    <mergeCell ref="H80:I80"/>
    <mergeCell ref="H81:I81"/>
    <mergeCell ref="B80:E80"/>
    <mergeCell ref="F75:G75"/>
    <mergeCell ref="F76:G76"/>
    <mergeCell ref="F77:G77"/>
    <mergeCell ref="F78:G78"/>
    <mergeCell ref="F79:G79"/>
    <mergeCell ref="F80:G80"/>
    <mergeCell ref="B75:E75"/>
    <mergeCell ref="B76:E76"/>
    <mergeCell ref="B77:E77"/>
    <mergeCell ref="B78:E78"/>
    <mergeCell ref="B79:E79"/>
    <mergeCell ref="B73:E73"/>
    <mergeCell ref="B74:E74"/>
    <mergeCell ref="F73:G73"/>
    <mergeCell ref="F74:G74"/>
    <mergeCell ref="H73:I73"/>
    <mergeCell ref="H74:I74"/>
    <mergeCell ref="B71:E71"/>
    <mergeCell ref="F71:G71"/>
    <mergeCell ref="H71:I71"/>
    <mergeCell ref="B72:E72"/>
    <mergeCell ref="F72:G72"/>
    <mergeCell ref="H72:I72"/>
    <mergeCell ref="B69:E69"/>
    <mergeCell ref="F69:G69"/>
    <mergeCell ref="H69:I69"/>
    <mergeCell ref="B70:E70"/>
    <mergeCell ref="F70:G70"/>
    <mergeCell ref="H70:I70"/>
    <mergeCell ref="B67:E67"/>
    <mergeCell ref="F67:G67"/>
    <mergeCell ref="H67:I67"/>
    <mergeCell ref="B68:E68"/>
    <mergeCell ref="F68:G68"/>
    <mergeCell ref="H68:I68"/>
    <mergeCell ref="B65:E65"/>
    <mergeCell ref="F65:G65"/>
    <mergeCell ref="H65:I65"/>
    <mergeCell ref="B66:E66"/>
    <mergeCell ref="F66:G66"/>
    <mergeCell ref="H66:I66"/>
    <mergeCell ref="B63:E63"/>
    <mergeCell ref="F63:G63"/>
    <mergeCell ref="H63:I63"/>
    <mergeCell ref="B64:E64"/>
    <mergeCell ref="F64:G64"/>
    <mergeCell ref="H64:I64"/>
    <mergeCell ref="B61:E61"/>
    <mergeCell ref="F61:G61"/>
    <mergeCell ref="H61:I61"/>
    <mergeCell ref="B62:E62"/>
    <mergeCell ref="F62:G62"/>
    <mergeCell ref="H62:I62"/>
    <mergeCell ref="B59:E59"/>
    <mergeCell ref="F59:G59"/>
    <mergeCell ref="H59:I59"/>
    <mergeCell ref="B60:E60"/>
    <mergeCell ref="F60:G60"/>
    <mergeCell ref="H60:I60"/>
    <mergeCell ref="B57:E57"/>
    <mergeCell ref="F57:G57"/>
    <mergeCell ref="H57:I57"/>
    <mergeCell ref="B58:E58"/>
    <mergeCell ref="F58:G58"/>
    <mergeCell ref="H58:I58"/>
    <mergeCell ref="B55:E55"/>
    <mergeCell ref="F55:G55"/>
    <mergeCell ref="H55:I55"/>
    <mergeCell ref="B56:E56"/>
    <mergeCell ref="F56:G56"/>
    <mergeCell ref="H56:I56"/>
    <mergeCell ref="B53:E53"/>
    <mergeCell ref="F53:G53"/>
    <mergeCell ref="H53:I53"/>
    <mergeCell ref="B54:E54"/>
    <mergeCell ref="F54:G54"/>
    <mergeCell ref="H54:I54"/>
    <mergeCell ref="B51:E51"/>
    <mergeCell ref="F51:G51"/>
    <mergeCell ref="H51:I51"/>
    <mergeCell ref="B52:E52"/>
    <mergeCell ref="F52:G52"/>
    <mergeCell ref="H52:I52"/>
    <mergeCell ref="B49:E49"/>
    <mergeCell ref="F49:G49"/>
    <mergeCell ref="H49:I49"/>
    <mergeCell ref="B50:E50"/>
    <mergeCell ref="F50:G50"/>
    <mergeCell ref="H50:I50"/>
    <mergeCell ref="B47:E47"/>
    <mergeCell ref="F47:G47"/>
    <mergeCell ref="H47:I47"/>
    <mergeCell ref="B48:E48"/>
    <mergeCell ref="F48:G48"/>
    <mergeCell ref="H48:I48"/>
    <mergeCell ref="B45:E45"/>
    <mergeCell ref="F45:G45"/>
    <mergeCell ref="H45:I45"/>
    <mergeCell ref="B46:E46"/>
    <mergeCell ref="F46:G46"/>
    <mergeCell ref="H46:I46"/>
    <mergeCell ref="B43:E43"/>
    <mergeCell ref="F43:G43"/>
    <mergeCell ref="H43:I43"/>
    <mergeCell ref="B44:E44"/>
    <mergeCell ref="F44:G44"/>
    <mergeCell ref="H44:I44"/>
    <mergeCell ref="B41:E41"/>
    <mergeCell ref="F41:G41"/>
    <mergeCell ref="H41:I41"/>
    <mergeCell ref="B42:E42"/>
    <mergeCell ref="F42:G42"/>
    <mergeCell ref="H42:I42"/>
    <mergeCell ref="B39:E39"/>
    <mergeCell ref="F39:G39"/>
    <mergeCell ref="H39:I39"/>
    <mergeCell ref="B40:E40"/>
    <mergeCell ref="F40:G40"/>
    <mergeCell ref="H40:I40"/>
    <mergeCell ref="B37:E37"/>
    <mergeCell ref="F37:G37"/>
    <mergeCell ref="H37:I37"/>
    <mergeCell ref="B38:E38"/>
    <mergeCell ref="F38:G38"/>
    <mergeCell ref="H38:I38"/>
    <mergeCell ref="B35:E35"/>
    <mergeCell ref="F35:G35"/>
    <mergeCell ref="H35:I35"/>
    <mergeCell ref="B36:E36"/>
    <mergeCell ref="F36:G36"/>
    <mergeCell ref="H36:I36"/>
    <mergeCell ref="B33:E33"/>
    <mergeCell ref="F33:G33"/>
    <mergeCell ref="H33:I33"/>
    <mergeCell ref="B34:E34"/>
    <mergeCell ref="F34:G34"/>
    <mergeCell ref="H34:I34"/>
    <mergeCell ref="B31:E31"/>
    <mergeCell ref="F31:G31"/>
    <mergeCell ref="H31:I31"/>
    <mergeCell ref="B32:E32"/>
    <mergeCell ref="F32:G32"/>
    <mergeCell ref="H32:I32"/>
    <mergeCell ref="B29:E29"/>
    <mergeCell ref="F29:G29"/>
    <mergeCell ref="H29:I29"/>
    <mergeCell ref="B30:E30"/>
    <mergeCell ref="F30:G30"/>
    <mergeCell ref="H30:I30"/>
    <mergeCell ref="B27:E27"/>
    <mergeCell ref="F27:G27"/>
    <mergeCell ref="H27:I27"/>
    <mergeCell ref="B28:E28"/>
    <mergeCell ref="F28:G28"/>
    <mergeCell ref="H28:I28"/>
    <mergeCell ref="B25:E25"/>
    <mergeCell ref="F25:G25"/>
    <mergeCell ref="H25:I25"/>
    <mergeCell ref="B26:E26"/>
    <mergeCell ref="F26:G26"/>
    <mergeCell ref="H26:I26"/>
    <mergeCell ref="B23:E23"/>
    <mergeCell ref="F23:G23"/>
    <mergeCell ref="H23:I23"/>
    <mergeCell ref="B24:E24"/>
    <mergeCell ref="F24:G24"/>
    <mergeCell ref="H24:I24"/>
    <mergeCell ref="B21:E21"/>
    <mergeCell ref="F21:G21"/>
    <mergeCell ref="H21:I21"/>
    <mergeCell ref="B22:E22"/>
    <mergeCell ref="F22:G22"/>
    <mergeCell ref="H22:I22"/>
    <mergeCell ref="B19:E19"/>
    <mergeCell ref="F19:G19"/>
    <mergeCell ref="H19:I19"/>
    <mergeCell ref="B20:E20"/>
    <mergeCell ref="F20:G20"/>
    <mergeCell ref="H20:I20"/>
    <mergeCell ref="B17:E17"/>
    <mergeCell ref="F17:G17"/>
    <mergeCell ref="H17:I17"/>
    <mergeCell ref="B18:E18"/>
    <mergeCell ref="F18:G18"/>
    <mergeCell ref="H18:I18"/>
    <mergeCell ref="B15:E15"/>
    <mergeCell ref="F15:G15"/>
    <mergeCell ref="H15:I15"/>
    <mergeCell ref="B16:E16"/>
    <mergeCell ref="F16:G16"/>
    <mergeCell ref="H16:I16"/>
    <mergeCell ref="B13:E13"/>
    <mergeCell ref="F13:G13"/>
    <mergeCell ref="H13:I13"/>
    <mergeCell ref="B14:E14"/>
    <mergeCell ref="F14:G14"/>
    <mergeCell ref="H14:I14"/>
    <mergeCell ref="A2:I2"/>
    <mergeCell ref="A1:I1"/>
    <mergeCell ref="F8:G12"/>
    <mergeCell ref="B8:E12"/>
    <mergeCell ref="H8:I12"/>
    <mergeCell ref="A8:A12"/>
  </mergeCells>
  <conditionalFormatting sqref="F14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  <ignoredErrors>
    <ignoredError sqref="A171:XFD17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5"/>
  <sheetViews>
    <sheetView zoomScale="120" zoomScaleNormal="120" workbookViewId="0">
      <selection activeCell="C17" sqref="C17"/>
    </sheetView>
  </sheetViews>
  <sheetFormatPr defaultColWidth="9.140625" defaultRowHeight="12.75"/>
  <cols>
    <col min="1" max="1" width="6.42578125" style="35" customWidth="1"/>
    <col min="2" max="2" width="9.140625" style="35"/>
    <col min="3" max="3" width="36.7109375" style="35" customWidth="1"/>
    <col min="4" max="4" width="11.28515625" style="35" customWidth="1"/>
    <col min="5" max="5" width="9.85546875" style="35" customWidth="1"/>
    <col min="6" max="6" width="11.28515625" style="35" customWidth="1"/>
    <col min="7" max="8" width="9.85546875" style="35" customWidth="1"/>
    <col min="9" max="9" width="0" style="35" hidden="1" customWidth="1"/>
    <col min="10" max="10" width="0" style="103" hidden="1" customWidth="1"/>
    <col min="11" max="16" width="0" style="35" hidden="1" customWidth="1"/>
    <col min="17" max="16384" width="9.140625" style="35"/>
  </cols>
  <sheetData>
    <row r="1" spans="1:10" ht="15.75">
      <c r="A1" s="267" t="s">
        <v>49</v>
      </c>
      <c r="B1" s="267"/>
      <c r="C1" s="267"/>
      <c r="D1" s="267"/>
      <c r="E1" s="267"/>
      <c r="F1" s="267"/>
      <c r="G1" s="267"/>
      <c r="H1" s="267"/>
    </row>
    <row r="2" spans="1:10" ht="7.5" customHeight="1"/>
    <row r="3" spans="1:10">
      <c r="A3" s="135" t="s">
        <v>158</v>
      </c>
      <c r="D3" s="104"/>
      <c r="J3" s="35"/>
    </row>
    <row r="4" spans="1:10">
      <c r="A4" s="135" t="s">
        <v>159</v>
      </c>
      <c r="D4" s="104"/>
      <c r="J4" s="35"/>
    </row>
    <row r="5" spans="1:10">
      <c r="A5" s="135" t="s">
        <v>160</v>
      </c>
      <c r="D5" s="104"/>
      <c r="J5" s="35"/>
    </row>
    <row r="6" spans="1:10">
      <c r="A6" s="135" t="s">
        <v>142</v>
      </c>
      <c r="J6" s="35"/>
    </row>
    <row r="7" spans="1:10" ht="7.5" customHeight="1" thickBot="1"/>
    <row r="8" spans="1:10">
      <c r="A8" s="270" t="s">
        <v>14</v>
      </c>
      <c r="B8" s="272" t="s">
        <v>0</v>
      </c>
      <c r="C8" s="272" t="s">
        <v>50</v>
      </c>
      <c r="D8" s="272" t="s">
        <v>132</v>
      </c>
      <c r="E8" s="272" t="s">
        <v>51</v>
      </c>
      <c r="F8" s="272"/>
      <c r="G8" s="272"/>
      <c r="H8" s="274"/>
    </row>
    <row r="9" spans="1:10" ht="24.75" thickBot="1">
      <c r="A9" s="271"/>
      <c r="B9" s="273"/>
      <c r="C9" s="273"/>
      <c r="D9" s="273"/>
      <c r="E9" s="181" t="s">
        <v>128</v>
      </c>
      <c r="F9" s="181" t="s">
        <v>127</v>
      </c>
      <c r="G9" s="181" t="s">
        <v>133</v>
      </c>
      <c r="H9" s="36" t="s">
        <v>52</v>
      </c>
    </row>
    <row r="10" spans="1:10" ht="14.25" thickTop="1" thickBot="1">
      <c r="A10" s="37">
        <v>1</v>
      </c>
      <c r="B10" s="38">
        <v>2</v>
      </c>
      <c r="C10" s="39">
        <v>3</v>
      </c>
      <c r="D10" s="38">
        <v>4</v>
      </c>
      <c r="E10" s="39">
        <v>5</v>
      </c>
      <c r="F10" s="38">
        <v>6</v>
      </c>
      <c r="G10" s="39">
        <v>7</v>
      </c>
      <c r="H10" s="40">
        <v>8</v>
      </c>
    </row>
    <row r="11" spans="1:10" s="105" customFormat="1" ht="13.5" thickTop="1">
      <c r="A11" s="95"/>
      <c r="B11" s="97"/>
      <c r="C11" s="101" t="s">
        <v>42</v>
      </c>
      <c r="D11" s="100"/>
      <c r="E11" s="41"/>
      <c r="F11" s="41"/>
      <c r="G11" s="41"/>
      <c r="H11" s="42"/>
      <c r="J11" s="106"/>
    </row>
    <row r="12" spans="1:10" ht="24">
      <c r="A12" s="96">
        <v>1</v>
      </c>
      <c r="B12" s="196" t="s">
        <v>38</v>
      </c>
      <c r="C12" s="184" t="s">
        <v>67</v>
      </c>
      <c r="D12" s="98"/>
      <c r="E12" s="79"/>
      <c r="F12" s="79"/>
      <c r="G12" s="79"/>
      <c r="H12" s="80"/>
    </row>
    <row r="13" spans="1:10">
      <c r="A13" s="95">
        <f>A12+1</f>
        <v>2</v>
      </c>
      <c r="B13" s="197" t="s">
        <v>39</v>
      </c>
      <c r="C13" s="99" t="s">
        <v>105</v>
      </c>
      <c r="D13" s="98"/>
      <c r="E13" s="43"/>
      <c r="F13" s="43"/>
      <c r="G13" s="43"/>
      <c r="H13" s="44"/>
    </row>
    <row r="14" spans="1:10">
      <c r="A14" s="95">
        <f t="shared" ref="A14:A22" si="0">A13+1</f>
        <v>3</v>
      </c>
      <c r="B14" s="197" t="s">
        <v>40</v>
      </c>
      <c r="C14" s="99" t="s">
        <v>106</v>
      </c>
      <c r="D14" s="98"/>
      <c r="E14" s="43"/>
      <c r="F14" s="43"/>
      <c r="G14" s="43"/>
      <c r="H14" s="44"/>
    </row>
    <row r="15" spans="1:10">
      <c r="A15" s="95">
        <f t="shared" si="0"/>
        <v>4</v>
      </c>
      <c r="B15" s="197" t="s">
        <v>135</v>
      </c>
      <c r="C15" s="99" t="s">
        <v>113</v>
      </c>
      <c r="D15" s="98"/>
      <c r="E15" s="43"/>
      <c r="F15" s="43"/>
      <c r="G15" s="43"/>
      <c r="H15" s="44"/>
    </row>
    <row r="16" spans="1:10">
      <c r="A16" s="95">
        <f t="shared" si="0"/>
        <v>5</v>
      </c>
      <c r="B16" s="197" t="s">
        <v>43</v>
      </c>
      <c r="C16" s="99" t="s">
        <v>181</v>
      </c>
      <c r="D16" s="98"/>
      <c r="E16" s="43"/>
      <c r="F16" s="43"/>
      <c r="G16" s="43"/>
      <c r="H16" s="44"/>
    </row>
    <row r="17" spans="1:10">
      <c r="A17" s="95">
        <f t="shared" si="0"/>
        <v>6</v>
      </c>
      <c r="B17" s="197" t="s">
        <v>44</v>
      </c>
      <c r="C17" s="99" t="s">
        <v>68</v>
      </c>
      <c r="D17" s="98"/>
      <c r="E17" s="43"/>
      <c r="F17" s="43"/>
      <c r="G17" s="43"/>
      <c r="H17" s="44"/>
    </row>
    <row r="18" spans="1:10">
      <c r="A18" s="95">
        <f t="shared" si="0"/>
        <v>7</v>
      </c>
      <c r="B18" s="197" t="s">
        <v>45</v>
      </c>
      <c r="C18" s="99" t="s">
        <v>157</v>
      </c>
      <c r="D18" s="98"/>
      <c r="E18" s="43"/>
      <c r="F18" s="43"/>
      <c r="G18" s="43"/>
      <c r="H18" s="44"/>
    </row>
    <row r="19" spans="1:10">
      <c r="A19" s="95">
        <f t="shared" si="0"/>
        <v>8</v>
      </c>
      <c r="B19" s="197" t="s">
        <v>46</v>
      </c>
      <c r="C19" s="99" t="s">
        <v>280</v>
      </c>
      <c r="D19" s="98"/>
      <c r="E19" s="43"/>
      <c r="F19" s="43"/>
      <c r="G19" s="43"/>
      <c r="H19" s="44"/>
    </row>
    <row r="20" spans="1:10">
      <c r="A20" s="95">
        <f t="shared" si="0"/>
        <v>9</v>
      </c>
      <c r="B20" s="197" t="s">
        <v>47</v>
      </c>
      <c r="C20" s="99" t="s">
        <v>283</v>
      </c>
      <c r="D20" s="98"/>
      <c r="E20" s="43"/>
      <c r="F20" s="43"/>
      <c r="G20" s="43"/>
      <c r="H20" s="44"/>
    </row>
    <row r="21" spans="1:10">
      <c r="A21" s="95">
        <f t="shared" si="0"/>
        <v>10</v>
      </c>
      <c r="B21" s="197" t="s">
        <v>284</v>
      </c>
      <c r="C21" s="189" t="s">
        <v>285</v>
      </c>
      <c r="D21" s="98"/>
      <c r="E21" s="43"/>
      <c r="F21" s="43"/>
      <c r="G21" s="43"/>
      <c r="H21" s="44"/>
    </row>
    <row r="22" spans="1:10" ht="13.5" thickBot="1">
      <c r="A22" s="190">
        <f t="shared" si="0"/>
        <v>11</v>
      </c>
      <c r="B22" s="145" t="s">
        <v>48</v>
      </c>
      <c r="C22" s="170" t="s">
        <v>286</v>
      </c>
      <c r="D22" s="177"/>
      <c r="E22" s="162"/>
      <c r="F22" s="162"/>
      <c r="G22" s="162"/>
      <c r="H22" s="163"/>
    </row>
    <row r="23" spans="1:10" s="104" customFormat="1" ht="13.5" thickTop="1">
      <c r="A23" s="45"/>
      <c r="B23" s="46"/>
      <c r="C23" s="46" t="s">
        <v>12</v>
      </c>
      <c r="D23" s="47"/>
      <c r="E23" s="47"/>
      <c r="F23" s="47"/>
      <c r="G23" s="47"/>
      <c r="H23" s="48"/>
      <c r="J23" s="107">
        <f>H23/320</f>
        <v>0</v>
      </c>
    </row>
    <row r="24" spans="1:10" s="104" customFormat="1">
      <c r="A24" s="81"/>
      <c r="B24" s="46"/>
      <c r="C24" s="87" t="s">
        <v>624</v>
      </c>
      <c r="D24" s="82"/>
      <c r="E24" s="82"/>
      <c r="F24" s="82"/>
      <c r="G24" s="82"/>
      <c r="H24" s="83"/>
      <c r="J24" s="108"/>
    </row>
    <row r="25" spans="1:10" s="104" customFormat="1">
      <c r="A25" s="49"/>
      <c r="B25" s="50"/>
      <c r="C25" s="88" t="s">
        <v>625</v>
      </c>
      <c r="D25" s="51"/>
      <c r="E25" s="51"/>
      <c r="F25" s="51"/>
      <c r="G25" s="51"/>
      <c r="H25" s="52"/>
      <c r="J25" s="108"/>
    </row>
    <row r="26" spans="1:10" s="104" customFormat="1" ht="13.5" thickBot="1">
      <c r="A26" s="93"/>
      <c r="B26" s="84"/>
      <c r="C26" s="94" t="s">
        <v>131</v>
      </c>
      <c r="D26" s="85"/>
      <c r="E26" s="85"/>
      <c r="F26" s="85"/>
      <c r="G26" s="85"/>
      <c r="H26" s="86"/>
      <c r="J26" s="108"/>
    </row>
    <row r="27" spans="1:10" s="104" customFormat="1" ht="14.25" thickTop="1" thickBot="1">
      <c r="A27" s="89"/>
      <c r="B27" s="90"/>
      <c r="C27" s="90" t="s">
        <v>37</v>
      </c>
      <c r="D27" s="91"/>
      <c r="E27" s="91"/>
      <c r="F27" s="91"/>
      <c r="G27" s="91"/>
      <c r="H27" s="92"/>
      <c r="I27" s="109"/>
      <c r="J27" s="108"/>
    </row>
    <row r="29" spans="1:10" s="54" customFormat="1" ht="15">
      <c r="A29" s="55"/>
      <c r="B29" s="35"/>
      <c r="C29" s="8"/>
      <c r="D29" s="8"/>
      <c r="E29" s="110"/>
      <c r="F29" s="110"/>
      <c r="G29" s="110"/>
      <c r="H29" s="110"/>
      <c r="I29" s="35"/>
    </row>
    <row r="30" spans="1:10" s="54" customFormat="1" ht="15">
      <c r="A30" s="55"/>
      <c r="B30" s="35"/>
      <c r="C30" s="8"/>
      <c r="D30" s="269">
        <f ca="1">TODAY()</f>
        <v>42146</v>
      </c>
      <c r="E30" s="269"/>
      <c r="F30" s="110"/>
      <c r="G30" s="110"/>
      <c r="H30" s="110"/>
      <c r="I30" s="110"/>
      <c r="J30" s="35"/>
    </row>
    <row r="31" spans="1:10" s="54" customFormat="1" ht="15">
      <c r="A31" s="56"/>
      <c r="B31" s="35"/>
      <c r="C31" s="57"/>
      <c r="D31" s="58"/>
      <c r="E31" s="110"/>
      <c r="F31" s="110"/>
      <c r="G31" s="110"/>
      <c r="H31" s="110"/>
      <c r="I31" s="110"/>
      <c r="J31" s="35"/>
    </row>
    <row r="32" spans="1:10">
      <c r="J32" s="35"/>
    </row>
    <row r="33" spans="10:10">
      <c r="J33" s="35"/>
    </row>
    <row r="34" spans="10:10">
      <c r="J34" s="35"/>
    </row>
    <row r="35" spans="10:10">
      <c r="J35" s="35"/>
    </row>
    <row r="36" spans="10:10">
      <c r="J36" s="35"/>
    </row>
    <row r="37" spans="10:10">
      <c r="J37" s="35"/>
    </row>
    <row r="38" spans="10:10">
      <c r="J38" s="35"/>
    </row>
    <row r="39" spans="10:10">
      <c r="J39" s="35"/>
    </row>
    <row r="40" spans="10:10">
      <c r="J40" s="35"/>
    </row>
    <row r="41" spans="10:10">
      <c r="J41" s="35"/>
    </row>
    <row r="42" spans="10:10">
      <c r="J42" s="35"/>
    </row>
    <row r="43" spans="10:10">
      <c r="J43" s="35"/>
    </row>
    <row r="44" spans="10:10">
      <c r="J44" s="35"/>
    </row>
    <row r="45" spans="10:10">
      <c r="J45" s="35"/>
    </row>
    <row r="46" spans="10:10">
      <c r="J46" s="35"/>
    </row>
    <row r="47" spans="10:10">
      <c r="J47" s="35"/>
    </row>
    <row r="48" spans="10:10">
      <c r="J48" s="35"/>
    </row>
    <row r="49" spans="10:10">
      <c r="J49" s="35"/>
    </row>
    <row r="50" spans="10:10">
      <c r="J50" s="35"/>
    </row>
    <row r="51" spans="10:10">
      <c r="J51" s="35"/>
    </row>
    <row r="52" spans="10:10">
      <c r="J52" s="35"/>
    </row>
    <row r="53" spans="10:10">
      <c r="J53" s="35"/>
    </row>
    <row r="54" spans="10:10">
      <c r="J54" s="35"/>
    </row>
    <row r="55" spans="10:10">
      <c r="J55" s="35"/>
    </row>
    <row r="56" spans="10:10">
      <c r="J56" s="35"/>
    </row>
    <row r="57" spans="10:10">
      <c r="J57" s="35"/>
    </row>
    <row r="58" spans="10:10">
      <c r="J58" s="35"/>
    </row>
    <row r="59" spans="10:10">
      <c r="J59" s="35"/>
    </row>
    <row r="60" spans="10:10">
      <c r="J60" s="35"/>
    </row>
    <row r="61" spans="10:10">
      <c r="J61" s="35"/>
    </row>
    <row r="62" spans="10:10">
      <c r="J62" s="35"/>
    </row>
    <row r="63" spans="10:10">
      <c r="J63" s="35"/>
    </row>
    <row r="64" spans="10:10">
      <c r="J64" s="35"/>
    </row>
    <row r="65" spans="10:10">
      <c r="J65" s="35"/>
    </row>
    <row r="66" spans="10:10">
      <c r="J66" s="35"/>
    </row>
    <row r="67" spans="10:10">
      <c r="J67" s="35"/>
    </row>
    <row r="68" spans="10:10">
      <c r="J68" s="35"/>
    </row>
    <row r="69" spans="10:10">
      <c r="J69" s="35"/>
    </row>
    <row r="70" spans="10:10">
      <c r="J70" s="35"/>
    </row>
    <row r="71" spans="10:10">
      <c r="J71" s="35"/>
    </row>
    <row r="72" spans="10:10">
      <c r="J72" s="35"/>
    </row>
    <row r="73" spans="10:10">
      <c r="J73" s="35"/>
    </row>
    <row r="74" spans="10:10">
      <c r="J74" s="35"/>
    </row>
    <row r="75" spans="10:10">
      <c r="J75" s="35"/>
    </row>
    <row r="76" spans="10:10">
      <c r="J76" s="35"/>
    </row>
    <row r="77" spans="10:10">
      <c r="J77" s="35"/>
    </row>
    <row r="78" spans="10:10">
      <c r="J78" s="35"/>
    </row>
    <row r="79" spans="10:10">
      <c r="J79" s="35"/>
    </row>
    <row r="80" spans="10:10">
      <c r="J80" s="35"/>
    </row>
    <row r="81" spans="10:10">
      <c r="J81" s="35"/>
    </row>
    <row r="82" spans="10:10">
      <c r="J82" s="35"/>
    </row>
    <row r="83" spans="10:10">
      <c r="J83" s="35"/>
    </row>
    <row r="84" spans="10:10">
      <c r="J84" s="35"/>
    </row>
    <row r="85" spans="10:10">
      <c r="J85" s="35"/>
    </row>
    <row r="86" spans="10:10">
      <c r="J86" s="35"/>
    </row>
    <row r="87" spans="10:10">
      <c r="J87" s="35"/>
    </row>
    <row r="88" spans="10:10">
      <c r="J88" s="35"/>
    </row>
    <row r="89" spans="10:10">
      <c r="J89" s="35"/>
    </row>
    <row r="90" spans="10:10">
      <c r="J90" s="35"/>
    </row>
    <row r="91" spans="10:10">
      <c r="J91" s="35"/>
    </row>
    <row r="92" spans="10:10">
      <c r="J92" s="35"/>
    </row>
    <row r="93" spans="10:10">
      <c r="J93" s="35"/>
    </row>
    <row r="94" spans="10:10">
      <c r="J94" s="35"/>
    </row>
    <row r="95" spans="10:10">
      <c r="J95" s="35"/>
    </row>
    <row r="96" spans="10:10">
      <c r="J96" s="35"/>
    </row>
    <row r="97" spans="10:10">
      <c r="J97" s="35"/>
    </row>
    <row r="98" spans="10:10">
      <c r="J98" s="35"/>
    </row>
    <row r="99" spans="10:10">
      <c r="J99" s="35"/>
    </row>
    <row r="100" spans="10:10">
      <c r="J100" s="35"/>
    </row>
    <row r="101" spans="10:10">
      <c r="J101" s="35"/>
    </row>
    <row r="102" spans="10:10">
      <c r="J102" s="35"/>
    </row>
    <row r="103" spans="10:10">
      <c r="J103" s="35"/>
    </row>
    <row r="104" spans="10:10">
      <c r="J104" s="35"/>
    </row>
    <row r="105" spans="10:10">
      <c r="J105" s="35"/>
    </row>
    <row r="106" spans="10:10">
      <c r="J106" s="35"/>
    </row>
    <row r="107" spans="10:10">
      <c r="J107" s="35"/>
    </row>
    <row r="108" spans="10:10">
      <c r="J108" s="35"/>
    </row>
    <row r="109" spans="10:10">
      <c r="J109" s="35"/>
    </row>
    <row r="110" spans="10:10">
      <c r="J110" s="35"/>
    </row>
    <row r="111" spans="10:10">
      <c r="J111" s="35"/>
    </row>
    <row r="112" spans="10:10">
      <c r="J112" s="35"/>
    </row>
    <row r="113" spans="10:10">
      <c r="J113" s="35"/>
    </row>
    <row r="114" spans="10:10">
      <c r="J114" s="35"/>
    </row>
    <row r="115" spans="10:10">
      <c r="J115" s="35"/>
    </row>
    <row r="116" spans="10:10">
      <c r="J116" s="35"/>
    </row>
    <row r="117" spans="10:10">
      <c r="J117" s="35"/>
    </row>
    <row r="118" spans="10:10">
      <c r="J118" s="35"/>
    </row>
    <row r="119" spans="10:10">
      <c r="J119" s="35"/>
    </row>
    <row r="120" spans="10:10">
      <c r="J120" s="35"/>
    </row>
    <row r="121" spans="10:10">
      <c r="J121" s="35"/>
    </row>
    <row r="122" spans="10:10">
      <c r="J122" s="35"/>
    </row>
    <row r="123" spans="10:10">
      <c r="J123" s="35"/>
    </row>
    <row r="124" spans="10:10">
      <c r="J124" s="35"/>
    </row>
    <row r="125" spans="10:10">
      <c r="J125" s="35"/>
    </row>
    <row r="126" spans="10:10">
      <c r="J126" s="35"/>
    </row>
    <row r="127" spans="10:10">
      <c r="J127" s="35"/>
    </row>
    <row r="128" spans="10:10">
      <c r="J128" s="35"/>
    </row>
    <row r="129" spans="10:10">
      <c r="J129" s="35"/>
    </row>
    <row r="130" spans="10:10">
      <c r="J130" s="35"/>
    </row>
    <row r="131" spans="10:10">
      <c r="J131" s="35"/>
    </row>
    <row r="132" spans="10:10">
      <c r="J132" s="35"/>
    </row>
    <row r="133" spans="10:10">
      <c r="J133" s="35"/>
    </row>
    <row r="134" spans="10:10">
      <c r="J134" s="35"/>
    </row>
    <row r="135" spans="10:10">
      <c r="J135" s="35"/>
    </row>
    <row r="136" spans="10:10">
      <c r="J136" s="35"/>
    </row>
    <row r="137" spans="10:10">
      <c r="J137" s="35"/>
    </row>
    <row r="138" spans="10:10">
      <c r="J138" s="35"/>
    </row>
    <row r="139" spans="10:10">
      <c r="J139" s="35"/>
    </row>
    <row r="140" spans="10:10">
      <c r="J140" s="35"/>
    </row>
    <row r="141" spans="10:10">
      <c r="J141" s="35"/>
    </row>
    <row r="142" spans="10:10">
      <c r="J142" s="35"/>
    </row>
    <row r="143" spans="10:10">
      <c r="J143" s="35"/>
    </row>
    <row r="144" spans="10:10">
      <c r="J144" s="35"/>
    </row>
    <row r="145" spans="10:10">
      <c r="J145" s="35"/>
    </row>
    <row r="146" spans="10:10">
      <c r="J146" s="35"/>
    </row>
    <row r="147" spans="10:10">
      <c r="J147" s="35"/>
    </row>
    <row r="148" spans="10:10">
      <c r="J148" s="35"/>
    </row>
    <row r="149" spans="10:10">
      <c r="J149" s="35"/>
    </row>
    <row r="150" spans="10:10">
      <c r="J150" s="35"/>
    </row>
    <row r="151" spans="10:10">
      <c r="J151" s="35"/>
    </row>
    <row r="152" spans="10:10">
      <c r="J152" s="35"/>
    </row>
    <row r="153" spans="10:10">
      <c r="J153" s="35"/>
    </row>
    <row r="154" spans="10:10">
      <c r="J154" s="35"/>
    </row>
    <row r="155" spans="10:10">
      <c r="J155" s="35"/>
    </row>
    <row r="156" spans="10:10">
      <c r="J156" s="35"/>
    </row>
    <row r="157" spans="10:10">
      <c r="J157" s="35"/>
    </row>
    <row r="158" spans="10:10">
      <c r="J158" s="35"/>
    </row>
    <row r="159" spans="10:10">
      <c r="J159" s="35"/>
    </row>
    <row r="160" spans="10:10">
      <c r="J160" s="35"/>
    </row>
    <row r="161" spans="10:10">
      <c r="J161" s="35"/>
    </row>
    <row r="162" spans="10:10">
      <c r="J162" s="35"/>
    </row>
    <row r="163" spans="10:10">
      <c r="J163" s="35"/>
    </row>
    <row r="164" spans="10:10">
      <c r="J164" s="35"/>
    </row>
    <row r="165" spans="10:10">
      <c r="J165" s="35"/>
    </row>
    <row r="166" spans="10:10">
      <c r="J166" s="35"/>
    </row>
    <row r="167" spans="10:10">
      <c r="J167" s="35"/>
    </row>
    <row r="168" spans="10:10">
      <c r="J168" s="35"/>
    </row>
    <row r="169" spans="10:10">
      <c r="J169" s="35"/>
    </row>
    <row r="170" spans="10:10">
      <c r="J170" s="35"/>
    </row>
    <row r="171" spans="10:10">
      <c r="J171" s="35"/>
    </row>
    <row r="172" spans="10:10">
      <c r="J172" s="35"/>
    </row>
    <row r="173" spans="10:10">
      <c r="J173" s="35"/>
    </row>
    <row r="174" spans="10:10">
      <c r="J174" s="35"/>
    </row>
    <row r="175" spans="10:10">
      <c r="J175" s="35"/>
    </row>
    <row r="176" spans="10:10">
      <c r="J176" s="35"/>
    </row>
    <row r="177" spans="10:10">
      <c r="J177" s="35"/>
    </row>
    <row r="178" spans="10:10">
      <c r="J178" s="35"/>
    </row>
    <row r="179" spans="10:10">
      <c r="J179" s="35"/>
    </row>
    <row r="180" spans="10:10">
      <c r="J180" s="35"/>
    </row>
    <row r="181" spans="10:10">
      <c r="J181" s="35"/>
    </row>
    <row r="182" spans="10:10">
      <c r="J182" s="35"/>
    </row>
    <row r="183" spans="10:10">
      <c r="J183" s="35"/>
    </row>
    <row r="184" spans="10:10">
      <c r="J184" s="35"/>
    </row>
    <row r="185" spans="10:10">
      <c r="J185" s="35"/>
    </row>
    <row r="186" spans="10:10">
      <c r="J186" s="35"/>
    </row>
    <row r="187" spans="10:10">
      <c r="J187" s="35"/>
    </row>
    <row r="188" spans="10:10">
      <c r="J188" s="35"/>
    </row>
    <row r="189" spans="10:10">
      <c r="J189" s="35"/>
    </row>
    <row r="190" spans="10:10">
      <c r="J190" s="35"/>
    </row>
    <row r="191" spans="10:10">
      <c r="J191" s="35"/>
    </row>
    <row r="192" spans="10:10">
      <c r="J192" s="35"/>
    </row>
    <row r="193" spans="10:10">
      <c r="J193" s="35"/>
    </row>
    <row r="194" spans="10:10">
      <c r="J194" s="35"/>
    </row>
    <row r="195" spans="10:10">
      <c r="J195" s="35"/>
    </row>
    <row r="196" spans="10:10">
      <c r="J196" s="35"/>
    </row>
    <row r="197" spans="10:10">
      <c r="J197" s="35"/>
    </row>
    <row r="198" spans="10:10">
      <c r="J198" s="35"/>
    </row>
    <row r="199" spans="10:10">
      <c r="J199" s="35"/>
    </row>
    <row r="200" spans="10:10">
      <c r="J200" s="35"/>
    </row>
    <row r="201" spans="10:10">
      <c r="J201" s="35"/>
    </row>
    <row r="202" spans="10:10">
      <c r="J202" s="35"/>
    </row>
    <row r="203" spans="10:10">
      <c r="J203" s="35"/>
    </row>
    <row r="204" spans="10:10">
      <c r="J204" s="35"/>
    </row>
    <row r="205" spans="10:10">
      <c r="J205" s="35"/>
    </row>
    <row r="206" spans="10:10">
      <c r="J206" s="35"/>
    </row>
    <row r="207" spans="10:10">
      <c r="J207" s="35"/>
    </row>
    <row r="208" spans="10:10">
      <c r="J208" s="35"/>
    </row>
    <row r="209" spans="10:10">
      <c r="J209" s="35"/>
    </row>
    <row r="210" spans="10:10">
      <c r="J210" s="35"/>
    </row>
    <row r="211" spans="10:10">
      <c r="J211" s="35"/>
    </row>
    <row r="212" spans="10:10">
      <c r="J212" s="35"/>
    </row>
    <row r="213" spans="10:10">
      <c r="J213" s="35"/>
    </row>
    <row r="214" spans="10:10">
      <c r="J214" s="35"/>
    </row>
    <row r="215" spans="10:10">
      <c r="J215" s="35"/>
    </row>
    <row r="216" spans="10:10">
      <c r="J216" s="35"/>
    </row>
    <row r="217" spans="10:10">
      <c r="J217" s="35"/>
    </row>
    <row r="218" spans="10:10">
      <c r="J218" s="35"/>
    </row>
    <row r="219" spans="10:10">
      <c r="J219" s="35"/>
    </row>
    <row r="220" spans="10:10">
      <c r="J220" s="35"/>
    </row>
    <row r="221" spans="10:10">
      <c r="J221" s="35"/>
    </row>
    <row r="222" spans="10:10">
      <c r="J222" s="35"/>
    </row>
    <row r="223" spans="10:10">
      <c r="J223" s="35"/>
    </row>
    <row r="224" spans="10:10">
      <c r="J224" s="35"/>
    </row>
    <row r="225" spans="10:10">
      <c r="J225" s="35"/>
    </row>
    <row r="226" spans="10:10">
      <c r="J226" s="35"/>
    </row>
    <row r="227" spans="10:10">
      <c r="J227" s="35"/>
    </row>
    <row r="228" spans="10:10">
      <c r="J228" s="35"/>
    </row>
    <row r="229" spans="10:10">
      <c r="J229" s="35"/>
    </row>
    <row r="230" spans="10:10">
      <c r="J230" s="35"/>
    </row>
    <row r="231" spans="10:10">
      <c r="J231" s="35"/>
    </row>
    <row r="232" spans="10:10">
      <c r="J232" s="35"/>
    </row>
    <row r="233" spans="10:10">
      <c r="J233" s="35"/>
    </row>
    <row r="234" spans="10:10">
      <c r="J234" s="35"/>
    </row>
    <row r="235" spans="10:10">
      <c r="J235" s="35"/>
    </row>
    <row r="236" spans="10:10">
      <c r="J236" s="35"/>
    </row>
    <row r="237" spans="10:10">
      <c r="J237" s="35"/>
    </row>
    <row r="238" spans="10:10">
      <c r="J238" s="35"/>
    </row>
    <row r="239" spans="10:10">
      <c r="J239" s="35"/>
    </row>
    <row r="240" spans="10:10">
      <c r="J240" s="35"/>
    </row>
    <row r="241" spans="10:10">
      <c r="J241" s="35"/>
    </row>
    <row r="242" spans="10:10">
      <c r="J242" s="35"/>
    </row>
    <row r="243" spans="10:10">
      <c r="J243" s="35"/>
    </row>
    <row r="244" spans="10:10">
      <c r="J244" s="35"/>
    </row>
    <row r="245" spans="10:10">
      <c r="J245" s="35"/>
    </row>
    <row r="246" spans="10:10">
      <c r="J246" s="35"/>
    </row>
    <row r="247" spans="10:10">
      <c r="J247" s="35"/>
    </row>
    <row r="248" spans="10:10">
      <c r="J248" s="35"/>
    </row>
    <row r="249" spans="10:10">
      <c r="J249" s="35"/>
    </row>
    <row r="250" spans="10:10">
      <c r="J250" s="35"/>
    </row>
    <row r="251" spans="10:10">
      <c r="J251" s="35"/>
    </row>
    <row r="252" spans="10:10">
      <c r="J252" s="35"/>
    </row>
    <row r="253" spans="10:10">
      <c r="J253" s="35"/>
    </row>
    <row r="254" spans="10:10">
      <c r="J254" s="35"/>
    </row>
    <row r="255" spans="10:10">
      <c r="J255" s="35"/>
    </row>
    <row r="256" spans="10:10">
      <c r="J256" s="35"/>
    </row>
    <row r="257" spans="10:10">
      <c r="J257" s="35"/>
    </row>
    <row r="258" spans="10:10">
      <c r="J258" s="35"/>
    </row>
    <row r="259" spans="10:10">
      <c r="J259" s="35"/>
    </row>
    <row r="260" spans="10:10">
      <c r="J260" s="35"/>
    </row>
    <row r="261" spans="10:10">
      <c r="J261" s="35"/>
    </row>
    <row r="262" spans="10:10">
      <c r="J262" s="35"/>
    </row>
    <row r="263" spans="10:10">
      <c r="J263" s="35"/>
    </row>
    <row r="264" spans="10:10">
      <c r="J264" s="35"/>
    </row>
    <row r="265" spans="10:10">
      <c r="J265" s="35"/>
    </row>
    <row r="266" spans="10:10">
      <c r="J266" s="35"/>
    </row>
    <row r="267" spans="10:10">
      <c r="J267" s="35"/>
    </row>
    <row r="268" spans="10:10">
      <c r="J268" s="35"/>
    </row>
    <row r="269" spans="10:10">
      <c r="J269" s="35"/>
    </row>
    <row r="270" spans="10:10">
      <c r="J270" s="35"/>
    </row>
    <row r="271" spans="10:10">
      <c r="J271" s="35"/>
    </row>
    <row r="272" spans="10:10">
      <c r="J272" s="35"/>
    </row>
    <row r="273" spans="10:10">
      <c r="J273" s="35"/>
    </row>
    <row r="274" spans="10:10">
      <c r="J274" s="35"/>
    </row>
    <row r="275" spans="10:10">
      <c r="J275" s="35"/>
    </row>
    <row r="276" spans="10:10">
      <c r="J276" s="35"/>
    </row>
    <row r="277" spans="10:10">
      <c r="J277" s="35"/>
    </row>
    <row r="278" spans="10:10">
      <c r="J278" s="35"/>
    </row>
    <row r="279" spans="10:10">
      <c r="J279" s="35"/>
    </row>
    <row r="280" spans="10:10">
      <c r="J280" s="35"/>
    </row>
    <row r="281" spans="10:10">
      <c r="J281" s="35"/>
    </row>
    <row r="282" spans="10:10">
      <c r="J282" s="35"/>
    </row>
    <row r="283" spans="10:10">
      <c r="J283" s="35"/>
    </row>
    <row r="284" spans="10:10">
      <c r="J284" s="35"/>
    </row>
    <row r="285" spans="10:10">
      <c r="J285" s="35"/>
    </row>
    <row r="286" spans="10:10">
      <c r="J286" s="35"/>
    </row>
    <row r="287" spans="10:10">
      <c r="J287" s="35"/>
    </row>
    <row r="288" spans="10:10">
      <c r="J288" s="35"/>
    </row>
    <row r="289" spans="10:10">
      <c r="J289" s="35"/>
    </row>
    <row r="290" spans="10:10">
      <c r="J290" s="35"/>
    </row>
    <row r="291" spans="10:10">
      <c r="J291" s="35"/>
    </row>
    <row r="292" spans="10:10">
      <c r="J292" s="35"/>
    </row>
    <row r="293" spans="10:10">
      <c r="J293" s="35"/>
    </row>
    <row r="294" spans="10:10">
      <c r="J294" s="35"/>
    </row>
    <row r="295" spans="10:10">
      <c r="J295" s="35"/>
    </row>
    <row r="296" spans="10:10">
      <c r="J296" s="35"/>
    </row>
    <row r="297" spans="10:10">
      <c r="J297" s="35"/>
    </row>
    <row r="298" spans="10:10">
      <c r="J298" s="35"/>
    </row>
    <row r="299" spans="10:10">
      <c r="J299" s="35"/>
    </row>
    <row r="300" spans="10:10">
      <c r="J300" s="35"/>
    </row>
    <row r="301" spans="10:10">
      <c r="J301" s="35"/>
    </row>
    <row r="302" spans="10:10">
      <c r="J302" s="35"/>
    </row>
    <row r="303" spans="10:10">
      <c r="J303" s="35"/>
    </row>
    <row r="304" spans="10:10">
      <c r="J304" s="35"/>
    </row>
    <row r="305" spans="10:10">
      <c r="J305" s="35"/>
    </row>
    <row r="306" spans="10:10">
      <c r="J306" s="35"/>
    </row>
    <row r="307" spans="10:10">
      <c r="J307" s="35"/>
    </row>
    <row r="308" spans="10:10">
      <c r="J308" s="35"/>
    </row>
    <row r="309" spans="10:10">
      <c r="J309" s="35"/>
    </row>
    <row r="310" spans="10:10">
      <c r="J310" s="35"/>
    </row>
    <row r="311" spans="10:10">
      <c r="J311" s="35"/>
    </row>
    <row r="312" spans="10:10">
      <c r="J312" s="35"/>
    </row>
    <row r="313" spans="10:10">
      <c r="J313" s="35"/>
    </row>
    <row r="314" spans="10:10">
      <c r="J314" s="35"/>
    </row>
    <row r="315" spans="10:10">
      <c r="J315" s="35"/>
    </row>
    <row r="316" spans="10:10">
      <c r="J316" s="35"/>
    </row>
    <row r="317" spans="10:10">
      <c r="J317" s="35"/>
    </row>
    <row r="318" spans="10:10">
      <c r="J318" s="35"/>
    </row>
    <row r="319" spans="10:10">
      <c r="J319" s="35"/>
    </row>
    <row r="320" spans="10:10">
      <c r="J320" s="35"/>
    </row>
    <row r="321" spans="10:10">
      <c r="J321" s="35"/>
    </row>
    <row r="322" spans="10:10">
      <c r="J322" s="35"/>
    </row>
    <row r="323" spans="10:10">
      <c r="J323" s="35"/>
    </row>
    <row r="324" spans="10:10">
      <c r="J324" s="35"/>
    </row>
    <row r="325" spans="10:10">
      <c r="J325" s="35"/>
    </row>
    <row r="326" spans="10:10">
      <c r="J326" s="35"/>
    </row>
    <row r="327" spans="10:10">
      <c r="J327" s="35"/>
    </row>
    <row r="328" spans="10:10">
      <c r="J328" s="35"/>
    </row>
    <row r="329" spans="10:10">
      <c r="J329" s="35"/>
    </row>
    <row r="330" spans="10:10">
      <c r="J330" s="35"/>
    </row>
    <row r="331" spans="10:10">
      <c r="J331" s="35"/>
    </row>
    <row r="332" spans="10:10">
      <c r="J332" s="35"/>
    </row>
    <row r="333" spans="10:10">
      <c r="J333" s="35"/>
    </row>
    <row r="334" spans="10:10">
      <c r="J334" s="35"/>
    </row>
    <row r="335" spans="10:10">
      <c r="J335" s="35"/>
    </row>
    <row r="336" spans="10:10">
      <c r="J336" s="35"/>
    </row>
    <row r="337" spans="10:10">
      <c r="J337" s="35"/>
    </row>
    <row r="338" spans="10:10">
      <c r="J338" s="35"/>
    </row>
    <row r="339" spans="10:10">
      <c r="J339" s="35"/>
    </row>
    <row r="340" spans="10:10">
      <c r="J340" s="35"/>
    </row>
    <row r="341" spans="10:10">
      <c r="J341" s="35"/>
    </row>
    <row r="342" spans="10:10">
      <c r="J342" s="35"/>
    </row>
    <row r="343" spans="10:10">
      <c r="J343" s="35"/>
    </row>
    <row r="344" spans="10:10">
      <c r="J344" s="35"/>
    </row>
    <row r="345" spans="10:10">
      <c r="J345" s="35"/>
    </row>
    <row r="346" spans="10:10">
      <c r="J346" s="35"/>
    </row>
    <row r="347" spans="10:10">
      <c r="J347" s="35"/>
    </row>
    <row r="348" spans="10:10">
      <c r="J348" s="35"/>
    </row>
    <row r="349" spans="10:10">
      <c r="J349" s="35"/>
    </row>
    <row r="350" spans="10:10">
      <c r="J350" s="35"/>
    </row>
    <row r="351" spans="10:10">
      <c r="J351" s="35"/>
    </row>
    <row r="352" spans="10:10">
      <c r="J352" s="35"/>
    </row>
    <row r="353" spans="10:10">
      <c r="J353" s="35"/>
    </row>
    <row r="354" spans="10:10">
      <c r="J354" s="35"/>
    </row>
    <row r="355" spans="10:10">
      <c r="J355" s="35"/>
    </row>
    <row r="356" spans="10:10">
      <c r="J356" s="35"/>
    </row>
    <row r="357" spans="10:10">
      <c r="J357" s="35"/>
    </row>
    <row r="358" spans="10:10">
      <c r="J358" s="35"/>
    </row>
    <row r="359" spans="10:10">
      <c r="J359" s="35"/>
    </row>
    <row r="360" spans="10:10">
      <c r="J360" s="35"/>
    </row>
    <row r="361" spans="10:10">
      <c r="J361" s="35"/>
    </row>
    <row r="362" spans="10:10">
      <c r="J362" s="35"/>
    </row>
    <row r="363" spans="10:10">
      <c r="J363" s="35"/>
    </row>
    <row r="364" spans="10:10">
      <c r="J364" s="35"/>
    </row>
    <row r="365" spans="10:10">
      <c r="J365" s="35"/>
    </row>
    <row r="366" spans="10:10">
      <c r="J366" s="35"/>
    </row>
    <row r="367" spans="10:10">
      <c r="J367" s="35"/>
    </row>
    <row r="368" spans="10:10">
      <c r="J368" s="35"/>
    </row>
    <row r="369" spans="10:10">
      <c r="J369" s="35"/>
    </row>
    <row r="370" spans="10:10">
      <c r="J370" s="35"/>
    </row>
    <row r="371" spans="10:10">
      <c r="J371" s="35"/>
    </row>
    <row r="372" spans="10:10">
      <c r="J372" s="35"/>
    </row>
    <row r="373" spans="10:10">
      <c r="J373" s="35"/>
    </row>
    <row r="374" spans="10:10">
      <c r="J374" s="35"/>
    </row>
    <row r="375" spans="10:10">
      <c r="J375" s="35"/>
    </row>
    <row r="376" spans="10:10">
      <c r="J376" s="35"/>
    </row>
    <row r="377" spans="10:10">
      <c r="J377" s="35"/>
    </row>
    <row r="378" spans="10:10">
      <c r="J378" s="35"/>
    </row>
    <row r="379" spans="10:10">
      <c r="J379" s="35"/>
    </row>
    <row r="380" spans="10:10">
      <c r="J380" s="35"/>
    </row>
    <row r="381" spans="10:10">
      <c r="J381" s="35"/>
    </row>
    <row r="382" spans="10:10">
      <c r="J382" s="35"/>
    </row>
    <row r="383" spans="10:10">
      <c r="J383" s="35"/>
    </row>
    <row r="384" spans="10:10">
      <c r="J384" s="35"/>
    </row>
    <row r="385" spans="10:10">
      <c r="J385" s="35"/>
    </row>
    <row r="386" spans="10:10">
      <c r="J386" s="35"/>
    </row>
    <row r="387" spans="10:10">
      <c r="J387" s="35"/>
    </row>
    <row r="388" spans="10:10">
      <c r="J388" s="35"/>
    </row>
    <row r="389" spans="10:10">
      <c r="J389" s="35"/>
    </row>
    <row r="390" spans="10:10">
      <c r="J390" s="35"/>
    </row>
    <row r="391" spans="10:10">
      <c r="J391" s="35"/>
    </row>
    <row r="392" spans="10:10">
      <c r="J392" s="35"/>
    </row>
    <row r="393" spans="10:10">
      <c r="J393" s="35"/>
    </row>
    <row r="394" spans="10:10">
      <c r="J394" s="35"/>
    </row>
    <row r="395" spans="10:10">
      <c r="J395" s="35"/>
    </row>
    <row r="396" spans="10:10">
      <c r="J396" s="35"/>
    </row>
    <row r="397" spans="10:10">
      <c r="J397" s="35"/>
    </row>
    <row r="398" spans="10:10">
      <c r="J398" s="35"/>
    </row>
    <row r="399" spans="10:10">
      <c r="J399" s="35"/>
    </row>
    <row r="400" spans="10:10">
      <c r="J400" s="35"/>
    </row>
    <row r="401" spans="10:10">
      <c r="J401" s="35"/>
    </row>
    <row r="402" spans="10:10">
      <c r="J402" s="35"/>
    </row>
    <row r="403" spans="10:10">
      <c r="J403" s="35"/>
    </row>
    <row r="404" spans="10:10">
      <c r="J404" s="35"/>
    </row>
    <row r="405" spans="10:10">
      <c r="J405" s="35"/>
    </row>
    <row r="406" spans="10:10">
      <c r="J406" s="35"/>
    </row>
    <row r="407" spans="10:10">
      <c r="J407" s="35"/>
    </row>
    <row r="408" spans="10:10">
      <c r="J408" s="35"/>
    </row>
    <row r="409" spans="10:10">
      <c r="J409" s="35"/>
    </row>
    <row r="410" spans="10:10">
      <c r="J410" s="35"/>
    </row>
    <row r="411" spans="10:10">
      <c r="J411" s="35"/>
    </row>
    <row r="412" spans="10:10">
      <c r="J412" s="35"/>
    </row>
    <row r="413" spans="10:10">
      <c r="J413" s="35"/>
    </row>
    <row r="414" spans="10:10">
      <c r="J414" s="35"/>
    </row>
    <row r="415" spans="10:10">
      <c r="J415" s="35"/>
    </row>
    <row r="416" spans="10:10">
      <c r="J416" s="35"/>
    </row>
    <row r="417" spans="10:10">
      <c r="J417" s="35"/>
    </row>
    <row r="418" spans="10:10">
      <c r="J418" s="35"/>
    </row>
    <row r="419" spans="10:10">
      <c r="J419" s="35"/>
    </row>
    <row r="420" spans="10:10">
      <c r="J420" s="35"/>
    </row>
    <row r="421" spans="10:10">
      <c r="J421" s="35"/>
    </row>
    <row r="422" spans="10:10">
      <c r="J422" s="35"/>
    </row>
    <row r="423" spans="10:10">
      <c r="J423" s="35"/>
    </row>
    <row r="424" spans="10:10">
      <c r="J424" s="35"/>
    </row>
    <row r="425" spans="10:10">
      <c r="J425" s="35"/>
    </row>
    <row r="426" spans="10:10">
      <c r="J426" s="35"/>
    </row>
    <row r="427" spans="10:10">
      <c r="J427" s="35"/>
    </row>
    <row r="428" spans="10:10">
      <c r="J428" s="35"/>
    </row>
    <row r="429" spans="10:10">
      <c r="J429" s="35"/>
    </row>
    <row r="430" spans="10:10">
      <c r="J430" s="35"/>
    </row>
    <row r="431" spans="10:10">
      <c r="J431" s="35"/>
    </row>
    <row r="432" spans="10:10">
      <c r="J432" s="35"/>
    </row>
    <row r="433" spans="10:10">
      <c r="J433" s="35"/>
    </row>
    <row r="434" spans="10:10">
      <c r="J434" s="35"/>
    </row>
    <row r="435" spans="10:10">
      <c r="J435" s="35"/>
    </row>
    <row r="436" spans="10:10">
      <c r="J436" s="35"/>
    </row>
    <row r="437" spans="10:10">
      <c r="J437" s="35"/>
    </row>
    <row r="438" spans="10:10">
      <c r="J438" s="35"/>
    </row>
    <row r="439" spans="10:10">
      <c r="J439" s="35"/>
    </row>
    <row r="440" spans="10:10">
      <c r="J440" s="35"/>
    </row>
    <row r="441" spans="10:10">
      <c r="J441" s="35"/>
    </row>
    <row r="442" spans="10:10">
      <c r="J442" s="35"/>
    </row>
    <row r="443" spans="10:10">
      <c r="J443" s="35"/>
    </row>
    <row r="444" spans="10:10">
      <c r="J444" s="35"/>
    </row>
    <row r="445" spans="10:10">
      <c r="J445" s="35"/>
    </row>
    <row r="446" spans="10:10">
      <c r="J446" s="35"/>
    </row>
    <row r="447" spans="10:10">
      <c r="J447" s="35"/>
    </row>
    <row r="448" spans="10:10">
      <c r="J448" s="35"/>
    </row>
    <row r="449" spans="10:10">
      <c r="J449" s="35"/>
    </row>
    <row r="450" spans="10:10">
      <c r="J450" s="35"/>
    </row>
    <row r="451" spans="10:10">
      <c r="J451" s="35"/>
    </row>
    <row r="452" spans="10:10">
      <c r="J452" s="35"/>
    </row>
    <row r="453" spans="10:10">
      <c r="J453" s="35"/>
    </row>
    <row r="454" spans="10:10">
      <c r="J454" s="35"/>
    </row>
    <row r="455" spans="10:10">
      <c r="J455" s="35"/>
    </row>
    <row r="456" spans="10:10">
      <c r="J456" s="35"/>
    </row>
    <row r="457" spans="10:10">
      <c r="J457" s="35"/>
    </row>
    <row r="458" spans="10:10">
      <c r="J458" s="35"/>
    </row>
    <row r="459" spans="10:10">
      <c r="J459" s="35"/>
    </row>
    <row r="460" spans="10:10">
      <c r="J460" s="35"/>
    </row>
    <row r="461" spans="10:10">
      <c r="J461" s="35"/>
    </row>
    <row r="462" spans="10:10">
      <c r="J462" s="35"/>
    </row>
    <row r="463" spans="10:10">
      <c r="J463" s="35"/>
    </row>
    <row r="464" spans="10:10">
      <c r="J464" s="35"/>
    </row>
    <row r="465" spans="10:10">
      <c r="J465" s="35"/>
    </row>
    <row r="466" spans="10:10">
      <c r="J466" s="35"/>
    </row>
    <row r="467" spans="10:10">
      <c r="J467" s="35"/>
    </row>
    <row r="468" spans="10:10">
      <c r="J468" s="35"/>
    </row>
    <row r="469" spans="10:10">
      <c r="J469" s="35"/>
    </row>
    <row r="470" spans="10:10">
      <c r="J470" s="35"/>
    </row>
    <row r="471" spans="10:10">
      <c r="J471" s="35"/>
    </row>
    <row r="472" spans="10:10">
      <c r="J472" s="35"/>
    </row>
    <row r="473" spans="10:10">
      <c r="J473" s="35"/>
    </row>
    <row r="474" spans="10:10">
      <c r="J474" s="35"/>
    </row>
    <row r="475" spans="10:10">
      <c r="J475" s="35"/>
    </row>
    <row r="476" spans="10:10">
      <c r="J476" s="35"/>
    </row>
    <row r="477" spans="10:10">
      <c r="J477" s="35"/>
    </row>
    <row r="478" spans="10:10">
      <c r="J478" s="35"/>
    </row>
    <row r="479" spans="10:10">
      <c r="J479" s="35"/>
    </row>
    <row r="480" spans="10:10">
      <c r="J480" s="35"/>
    </row>
    <row r="481" spans="10:10">
      <c r="J481" s="35"/>
    </row>
    <row r="482" spans="10:10">
      <c r="J482" s="35"/>
    </row>
    <row r="483" spans="10:10">
      <c r="J483" s="35"/>
    </row>
    <row r="484" spans="10:10">
      <c r="J484" s="35"/>
    </row>
    <row r="485" spans="10:10">
      <c r="J485" s="35"/>
    </row>
    <row r="486" spans="10:10">
      <c r="J486" s="35"/>
    </row>
    <row r="487" spans="10:10">
      <c r="J487" s="35"/>
    </row>
    <row r="488" spans="10:10">
      <c r="J488" s="35"/>
    </row>
    <row r="489" spans="10:10">
      <c r="J489" s="35"/>
    </row>
    <row r="490" spans="10:10">
      <c r="J490" s="35"/>
    </row>
    <row r="491" spans="10:10">
      <c r="J491" s="35"/>
    </row>
    <row r="492" spans="10:10">
      <c r="J492" s="35"/>
    </row>
    <row r="493" spans="10:10">
      <c r="J493" s="35"/>
    </row>
    <row r="494" spans="10:10">
      <c r="J494" s="35"/>
    </row>
    <row r="495" spans="10:10">
      <c r="J495" s="35"/>
    </row>
    <row r="496" spans="10:10">
      <c r="J496" s="35"/>
    </row>
    <row r="497" spans="10:10">
      <c r="J497" s="35"/>
    </row>
    <row r="498" spans="10:10">
      <c r="J498" s="35"/>
    </row>
    <row r="499" spans="10:10">
      <c r="J499" s="35"/>
    </row>
    <row r="500" spans="10:10">
      <c r="J500" s="35"/>
    </row>
    <row r="501" spans="10:10">
      <c r="J501" s="35"/>
    </row>
    <row r="502" spans="10:10">
      <c r="J502" s="35"/>
    </row>
    <row r="503" spans="10:10">
      <c r="J503" s="35"/>
    </row>
    <row r="504" spans="10:10">
      <c r="J504" s="35"/>
    </row>
    <row r="505" spans="10:10">
      <c r="J505" s="35"/>
    </row>
    <row r="506" spans="10:10">
      <c r="J506" s="35"/>
    </row>
    <row r="507" spans="10:10">
      <c r="J507" s="35"/>
    </row>
    <row r="508" spans="10:10">
      <c r="J508" s="35"/>
    </row>
    <row r="509" spans="10:10">
      <c r="J509" s="35"/>
    </row>
    <row r="510" spans="10:10">
      <c r="J510" s="35"/>
    </row>
    <row r="511" spans="10:10">
      <c r="J511" s="35"/>
    </row>
    <row r="512" spans="10:10">
      <c r="J512" s="35"/>
    </row>
    <row r="513" spans="10:10">
      <c r="J513" s="35"/>
    </row>
    <row r="514" spans="10:10">
      <c r="J514" s="35"/>
    </row>
    <row r="515" spans="10:10">
      <c r="J515" s="35"/>
    </row>
    <row r="516" spans="10:10">
      <c r="J516" s="35"/>
    </row>
    <row r="517" spans="10:10">
      <c r="J517" s="35"/>
    </row>
    <row r="518" spans="10:10">
      <c r="J518" s="35"/>
    </row>
    <row r="519" spans="10:10">
      <c r="J519" s="35"/>
    </row>
    <row r="520" spans="10:10">
      <c r="J520" s="35"/>
    </row>
    <row r="521" spans="10:10">
      <c r="J521" s="35"/>
    </row>
    <row r="522" spans="10:10">
      <c r="J522" s="35"/>
    </row>
    <row r="523" spans="10:10">
      <c r="J523" s="35"/>
    </row>
    <row r="524" spans="10:10">
      <c r="J524" s="35"/>
    </row>
    <row r="525" spans="10:10">
      <c r="J525" s="35"/>
    </row>
    <row r="526" spans="10:10">
      <c r="J526" s="35"/>
    </row>
    <row r="527" spans="10:10">
      <c r="J527" s="35"/>
    </row>
    <row r="528" spans="10:10">
      <c r="J528" s="35"/>
    </row>
    <row r="529" spans="10:10">
      <c r="J529" s="35"/>
    </row>
    <row r="530" spans="10:10">
      <c r="J530" s="35"/>
    </row>
    <row r="531" spans="10:10">
      <c r="J531" s="35"/>
    </row>
    <row r="532" spans="10:10">
      <c r="J532" s="35"/>
    </row>
    <row r="533" spans="10:10">
      <c r="J533" s="35"/>
    </row>
    <row r="534" spans="10:10">
      <c r="J534" s="35"/>
    </row>
    <row r="535" spans="10:10">
      <c r="J535" s="35"/>
    </row>
    <row r="536" spans="10:10">
      <c r="J536" s="35"/>
    </row>
    <row r="537" spans="10:10">
      <c r="J537" s="35"/>
    </row>
    <row r="538" spans="10:10">
      <c r="J538" s="35"/>
    </row>
    <row r="539" spans="10:10">
      <c r="J539" s="35"/>
    </row>
    <row r="540" spans="10:10">
      <c r="J540" s="35"/>
    </row>
    <row r="541" spans="10:10">
      <c r="J541" s="35"/>
    </row>
    <row r="542" spans="10:10">
      <c r="J542" s="35"/>
    </row>
    <row r="543" spans="10:10">
      <c r="J543" s="35"/>
    </row>
    <row r="544" spans="10:10">
      <c r="J544" s="35"/>
    </row>
    <row r="545" spans="10:10">
      <c r="J545" s="35"/>
    </row>
    <row r="546" spans="10:10">
      <c r="J546" s="35"/>
    </row>
    <row r="547" spans="10:10">
      <c r="J547" s="35"/>
    </row>
    <row r="548" spans="10:10">
      <c r="J548" s="35"/>
    </row>
    <row r="549" spans="10:10">
      <c r="J549" s="35"/>
    </row>
    <row r="550" spans="10:10">
      <c r="J550" s="35"/>
    </row>
    <row r="551" spans="10:10">
      <c r="J551" s="35"/>
    </row>
    <row r="552" spans="10:10">
      <c r="J552" s="35"/>
    </row>
    <row r="553" spans="10:10">
      <c r="J553" s="35"/>
    </row>
    <row r="554" spans="10:10">
      <c r="J554" s="35"/>
    </row>
    <row r="555" spans="10:10">
      <c r="J555" s="35"/>
    </row>
    <row r="556" spans="10:10">
      <c r="J556" s="35"/>
    </row>
    <row r="557" spans="10:10">
      <c r="J557" s="35"/>
    </row>
    <row r="558" spans="10:10">
      <c r="J558" s="35"/>
    </row>
    <row r="559" spans="10:10">
      <c r="J559" s="35"/>
    </row>
    <row r="560" spans="10:10">
      <c r="J560" s="35"/>
    </row>
    <row r="561" spans="10:10">
      <c r="J561" s="35"/>
    </row>
    <row r="562" spans="10:10">
      <c r="J562" s="35"/>
    </row>
    <row r="563" spans="10:10">
      <c r="J563" s="35"/>
    </row>
    <row r="564" spans="10:10">
      <c r="J564" s="35"/>
    </row>
    <row r="565" spans="10:10">
      <c r="J565" s="35"/>
    </row>
    <row r="566" spans="10:10">
      <c r="J566" s="35"/>
    </row>
    <row r="567" spans="10:10">
      <c r="J567" s="35"/>
    </row>
    <row r="568" spans="10:10">
      <c r="J568" s="35"/>
    </row>
    <row r="569" spans="10:10">
      <c r="J569" s="35"/>
    </row>
    <row r="570" spans="10:10">
      <c r="J570" s="35"/>
    </row>
    <row r="571" spans="10:10">
      <c r="J571" s="35"/>
    </row>
    <row r="572" spans="10:10">
      <c r="J572" s="35"/>
    </row>
    <row r="573" spans="10:10">
      <c r="J573" s="35"/>
    </row>
    <row r="574" spans="10:10">
      <c r="J574" s="35"/>
    </row>
    <row r="575" spans="10:10">
      <c r="J575" s="35"/>
    </row>
    <row r="576" spans="10:10">
      <c r="J576" s="35"/>
    </row>
    <row r="577" spans="10:10">
      <c r="J577" s="35"/>
    </row>
    <row r="578" spans="10:10">
      <c r="J578" s="35"/>
    </row>
    <row r="579" spans="10:10">
      <c r="J579" s="35"/>
    </row>
    <row r="580" spans="10:10">
      <c r="J580" s="35"/>
    </row>
    <row r="581" spans="10:10">
      <c r="J581" s="35"/>
    </row>
    <row r="582" spans="10:10">
      <c r="J582" s="35"/>
    </row>
    <row r="583" spans="10:10">
      <c r="J583" s="35"/>
    </row>
    <row r="584" spans="10:10">
      <c r="J584" s="35"/>
    </row>
    <row r="585" spans="10:10">
      <c r="J585" s="35"/>
    </row>
    <row r="586" spans="10:10">
      <c r="J586" s="35"/>
    </row>
    <row r="587" spans="10:10">
      <c r="J587" s="35"/>
    </row>
    <row r="588" spans="10:10">
      <c r="J588" s="35"/>
    </row>
    <row r="589" spans="10:10">
      <c r="J589" s="35"/>
    </row>
    <row r="590" spans="10:10">
      <c r="J590" s="35"/>
    </row>
    <row r="591" spans="10:10">
      <c r="J591" s="35"/>
    </row>
    <row r="592" spans="10:10">
      <c r="J592" s="35"/>
    </row>
    <row r="593" spans="10:10">
      <c r="J593" s="35"/>
    </row>
    <row r="594" spans="10:10">
      <c r="J594" s="35"/>
    </row>
    <row r="595" spans="10:10">
      <c r="J595" s="35"/>
    </row>
    <row r="596" spans="10:10">
      <c r="J596" s="35"/>
    </row>
    <row r="597" spans="10:10">
      <c r="J597" s="35"/>
    </row>
    <row r="598" spans="10:10">
      <c r="J598" s="35"/>
    </row>
    <row r="599" spans="10:10">
      <c r="J599" s="35"/>
    </row>
    <row r="600" spans="10:10">
      <c r="J600" s="35"/>
    </row>
    <row r="601" spans="10:10">
      <c r="J601" s="35"/>
    </row>
    <row r="602" spans="10:10">
      <c r="J602" s="35"/>
    </row>
    <row r="603" spans="10:10">
      <c r="J603" s="35"/>
    </row>
    <row r="604" spans="10:10">
      <c r="J604" s="35"/>
    </row>
    <row r="605" spans="10:10">
      <c r="J605" s="35"/>
    </row>
    <row r="606" spans="10:10">
      <c r="J606" s="35"/>
    </row>
    <row r="607" spans="10:10">
      <c r="J607" s="35"/>
    </row>
    <row r="608" spans="10:10">
      <c r="J608" s="35"/>
    </row>
    <row r="609" spans="10:10">
      <c r="J609" s="35"/>
    </row>
    <row r="610" spans="10:10">
      <c r="J610" s="35"/>
    </row>
    <row r="611" spans="10:10">
      <c r="J611" s="35"/>
    </row>
    <row r="612" spans="10:10">
      <c r="J612" s="35"/>
    </row>
    <row r="613" spans="10:10">
      <c r="J613" s="35"/>
    </row>
    <row r="614" spans="10:10">
      <c r="J614" s="35"/>
    </row>
    <row r="615" spans="10:10">
      <c r="J615" s="35"/>
    </row>
    <row r="616" spans="10:10">
      <c r="J616" s="35"/>
    </row>
    <row r="617" spans="10:10">
      <c r="J617" s="35"/>
    </row>
    <row r="618" spans="10:10">
      <c r="J618" s="35"/>
    </row>
    <row r="619" spans="10:10">
      <c r="J619" s="35"/>
    </row>
    <row r="620" spans="10:10">
      <c r="J620" s="35"/>
    </row>
    <row r="621" spans="10:10">
      <c r="J621" s="35"/>
    </row>
    <row r="622" spans="10:10">
      <c r="J622" s="35"/>
    </row>
    <row r="623" spans="10:10">
      <c r="J623" s="35"/>
    </row>
    <row r="624" spans="10:10">
      <c r="J624" s="35"/>
    </row>
    <row r="625" spans="10:10">
      <c r="J625" s="35"/>
    </row>
    <row r="626" spans="10:10">
      <c r="J626" s="35"/>
    </row>
    <row r="627" spans="10:10">
      <c r="J627" s="35"/>
    </row>
    <row r="628" spans="10:10">
      <c r="J628" s="35"/>
    </row>
    <row r="629" spans="10:10">
      <c r="J629" s="35"/>
    </row>
    <row r="630" spans="10:10">
      <c r="J630" s="35"/>
    </row>
    <row r="631" spans="10:10">
      <c r="J631" s="35"/>
    </row>
    <row r="632" spans="10:10">
      <c r="J632" s="35"/>
    </row>
    <row r="633" spans="10:10">
      <c r="J633" s="35"/>
    </row>
    <row r="634" spans="10:10">
      <c r="J634" s="35"/>
    </row>
    <row r="635" spans="10:10">
      <c r="J635" s="35"/>
    </row>
    <row r="636" spans="10:10">
      <c r="J636" s="35"/>
    </row>
    <row r="637" spans="10:10">
      <c r="J637" s="35"/>
    </row>
    <row r="638" spans="10:10">
      <c r="J638" s="35"/>
    </row>
    <row r="639" spans="10:10">
      <c r="J639" s="35"/>
    </row>
    <row r="640" spans="10:10">
      <c r="J640" s="35"/>
    </row>
    <row r="641" spans="10:10">
      <c r="J641" s="35"/>
    </row>
    <row r="642" spans="10:10">
      <c r="J642" s="35"/>
    </row>
    <row r="643" spans="10:10">
      <c r="J643" s="35"/>
    </row>
    <row r="644" spans="10:10">
      <c r="J644" s="35"/>
    </row>
    <row r="645" spans="10:10">
      <c r="J645" s="35"/>
    </row>
    <row r="646" spans="10:10">
      <c r="J646" s="35"/>
    </row>
    <row r="647" spans="10:10">
      <c r="J647" s="35"/>
    </row>
    <row r="648" spans="10:10">
      <c r="J648" s="35"/>
    </row>
    <row r="649" spans="10:10">
      <c r="J649" s="35"/>
    </row>
    <row r="650" spans="10:10">
      <c r="J650" s="35"/>
    </row>
    <row r="651" spans="10:10">
      <c r="J651" s="35"/>
    </row>
    <row r="652" spans="10:10">
      <c r="J652" s="35"/>
    </row>
    <row r="653" spans="10:10">
      <c r="J653" s="35"/>
    </row>
    <row r="654" spans="10:10">
      <c r="J654" s="35"/>
    </row>
    <row r="655" spans="10:10">
      <c r="J655" s="35"/>
    </row>
    <row r="656" spans="10:10">
      <c r="J656" s="35"/>
    </row>
    <row r="657" spans="10:10">
      <c r="J657" s="35"/>
    </row>
    <row r="658" spans="10:10">
      <c r="J658" s="35"/>
    </row>
    <row r="659" spans="10:10">
      <c r="J659" s="35"/>
    </row>
    <row r="660" spans="10:10">
      <c r="J660" s="35"/>
    </row>
    <row r="661" spans="10:10">
      <c r="J661" s="35"/>
    </row>
    <row r="662" spans="10:10">
      <c r="J662" s="35"/>
    </row>
    <row r="663" spans="10:10">
      <c r="J663" s="35"/>
    </row>
    <row r="664" spans="10:10">
      <c r="J664" s="35"/>
    </row>
    <row r="665" spans="10:10">
      <c r="J665" s="35"/>
    </row>
    <row r="666" spans="10:10">
      <c r="J666" s="35"/>
    </row>
    <row r="667" spans="10:10">
      <c r="J667" s="35"/>
    </row>
    <row r="668" spans="10:10">
      <c r="J668" s="35"/>
    </row>
    <row r="669" spans="10:10">
      <c r="J669" s="35"/>
    </row>
    <row r="670" spans="10:10">
      <c r="J670" s="35"/>
    </row>
    <row r="671" spans="10:10">
      <c r="J671" s="35"/>
    </row>
    <row r="672" spans="10:10">
      <c r="J672" s="35"/>
    </row>
    <row r="673" spans="10:10">
      <c r="J673" s="35"/>
    </row>
    <row r="674" spans="10:10">
      <c r="J674" s="35"/>
    </row>
    <row r="675" spans="10:10">
      <c r="J675" s="35"/>
    </row>
    <row r="676" spans="10:10">
      <c r="J676" s="35"/>
    </row>
    <row r="677" spans="10:10">
      <c r="J677" s="35"/>
    </row>
    <row r="678" spans="10:10">
      <c r="J678" s="35"/>
    </row>
    <row r="679" spans="10:10">
      <c r="J679" s="35"/>
    </row>
    <row r="680" spans="10:10">
      <c r="J680" s="35"/>
    </row>
    <row r="681" spans="10:10">
      <c r="J681" s="35"/>
    </row>
    <row r="682" spans="10:10">
      <c r="J682" s="35"/>
    </row>
    <row r="683" spans="10:10">
      <c r="J683" s="35"/>
    </row>
    <row r="684" spans="10:10">
      <c r="J684" s="35"/>
    </row>
    <row r="685" spans="10:10">
      <c r="J685" s="35"/>
    </row>
    <row r="686" spans="10:10">
      <c r="J686" s="35"/>
    </row>
    <row r="687" spans="10:10">
      <c r="J687" s="35"/>
    </row>
    <row r="688" spans="10:10">
      <c r="J688" s="35"/>
    </row>
    <row r="689" spans="10:10">
      <c r="J689" s="35"/>
    </row>
    <row r="690" spans="10:10">
      <c r="J690" s="35"/>
    </row>
    <row r="691" spans="10:10">
      <c r="J691" s="35"/>
    </row>
    <row r="692" spans="10:10">
      <c r="J692" s="35"/>
    </row>
    <row r="693" spans="10:10">
      <c r="J693" s="35"/>
    </row>
    <row r="694" spans="10:10">
      <c r="J694" s="35"/>
    </row>
    <row r="695" spans="10:10">
      <c r="J695" s="35"/>
    </row>
    <row r="696" spans="10:10">
      <c r="J696" s="35"/>
    </row>
    <row r="697" spans="10:10">
      <c r="J697" s="35"/>
    </row>
    <row r="698" spans="10:10">
      <c r="J698" s="35"/>
    </row>
    <row r="699" spans="10:10">
      <c r="J699" s="35"/>
    </row>
    <row r="700" spans="10:10">
      <c r="J700" s="35"/>
    </row>
    <row r="701" spans="10:10">
      <c r="J701" s="35"/>
    </row>
    <row r="702" spans="10:10">
      <c r="J702" s="35"/>
    </row>
    <row r="703" spans="10:10">
      <c r="J703" s="35"/>
    </row>
    <row r="704" spans="10:10">
      <c r="J704" s="35"/>
    </row>
    <row r="705" spans="10:10">
      <c r="J705" s="35"/>
    </row>
    <row r="706" spans="10:10">
      <c r="J706" s="35"/>
    </row>
    <row r="707" spans="10:10">
      <c r="J707" s="35"/>
    </row>
    <row r="708" spans="10:10">
      <c r="J708" s="35"/>
    </row>
    <row r="709" spans="10:10">
      <c r="J709" s="35"/>
    </row>
    <row r="710" spans="10:10">
      <c r="J710" s="35"/>
    </row>
    <row r="711" spans="10:10">
      <c r="J711" s="35"/>
    </row>
    <row r="712" spans="10:10">
      <c r="J712" s="35"/>
    </row>
    <row r="713" spans="10:10">
      <c r="J713" s="35"/>
    </row>
    <row r="714" spans="10:10">
      <c r="J714" s="35"/>
    </row>
    <row r="715" spans="10:10">
      <c r="J715" s="35"/>
    </row>
    <row r="716" spans="10:10">
      <c r="J716" s="35"/>
    </row>
    <row r="717" spans="10:10">
      <c r="J717" s="35"/>
    </row>
    <row r="718" spans="10:10">
      <c r="J718" s="35"/>
    </row>
    <row r="719" spans="10:10">
      <c r="J719" s="35"/>
    </row>
    <row r="720" spans="10:10">
      <c r="J720" s="35"/>
    </row>
    <row r="721" spans="10:10">
      <c r="J721" s="35"/>
    </row>
    <row r="722" spans="10:10">
      <c r="J722" s="35"/>
    </row>
    <row r="723" spans="10:10">
      <c r="J723" s="35"/>
    </row>
    <row r="724" spans="10:10">
      <c r="J724" s="35"/>
    </row>
    <row r="725" spans="10:10">
      <c r="J725" s="35"/>
    </row>
    <row r="726" spans="10:10">
      <c r="J726" s="35"/>
    </row>
    <row r="727" spans="10:10">
      <c r="J727" s="35"/>
    </row>
    <row r="728" spans="10:10">
      <c r="J728" s="35"/>
    </row>
    <row r="729" spans="10:10">
      <c r="J729" s="35"/>
    </row>
    <row r="730" spans="10:10">
      <c r="J730" s="35"/>
    </row>
    <row r="731" spans="10:10">
      <c r="J731" s="35"/>
    </row>
    <row r="732" spans="10:10">
      <c r="J732" s="35"/>
    </row>
    <row r="733" spans="10:10">
      <c r="J733" s="35"/>
    </row>
    <row r="734" spans="10:10">
      <c r="J734" s="35"/>
    </row>
    <row r="735" spans="10:10">
      <c r="J735" s="35"/>
    </row>
    <row r="736" spans="10:10">
      <c r="J736" s="35"/>
    </row>
    <row r="737" spans="10:10">
      <c r="J737" s="35"/>
    </row>
    <row r="738" spans="10:10">
      <c r="J738" s="35"/>
    </row>
    <row r="739" spans="10:10">
      <c r="J739" s="35"/>
    </row>
    <row r="740" spans="10:10">
      <c r="J740" s="35"/>
    </row>
    <row r="741" spans="10:10">
      <c r="J741" s="35"/>
    </row>
    <row r="742" spans="10:10">
      <c r="J742" s="35"/>
    </row>
    <row r="743" spans="10:10">
      <c r="J743" s="35"/>
    </row>
    <row r="744" spans="10:10">
      <c r="J744" s="35"/>
    </row>
    <row r="745" spans="10:10">
      <c r="J745" s="35"/>
    </row>
    <row r="746" spans="10:10">
      <c r="J746" s="35"/>
    </row>
    <row r="747" spans="10:10">
      <c r="J747" s="35"/>
    </row>
    <row r="748" spans="10:10">
      <c r="J748" s="35"/>
    </row>
    <row r="749" spans="10:10">
      <c r="J749" s="35"/>
    </row>
    <row r="750" spans="10:10">
      <c r="J750" s="35"/>
    </row>
    <row r="751" spans="10:10">
      <c r="J751" s="35"/>
    </row>
    <row r="752" spans="10:10">
      <c r="J752" s="35"/>
    </row>
    <row r="753" spans="10:10">
      <c r="J753" s="35"/>
    </row>
    <row r="754" spans="10:10">
      <c r="J754" s="35"/>
    </row>
    <row r="755" spans="10:10">
      <c r="J755" s="35"/>
    </row>
    <row r="756" spans="10:10">
      <c r="J756" s="35"/>
    </row>
    <row r="757" spans="10:10">
      <c r="J757" s="35"/>
    </row>
    <row r="758" spans="10:10">
      <c r="J758" s="35"/>
    </row>
    <row r="759" spans="10:10">
      <c r="J759" s="35"/>
    </row>
    <row r="760" spans="10:10">
      <c r="J760" s="35"/>
    </row>
    <row r="761" spans="10:10">
      <c r="J761" s="35"/>
    </row>
    <row r="762" spans="10:10">
      <c r="J762" s="35"/>
    </row>
    <row r="763" spans="10:10">
      <c r="J763" s="35"/>
    </row>
    <row r="764" spans="10:10">
      <c r="J764" s="35"/>
    </row>
    <row r="765" spans="10:10">
      <c r="J765" s="35"/>
    </row>
    <row r="766" spans="10:10">
      <c r="J766" s="35"/>
    </row>
    <row r="767" spans="10:10">
      <c r="J767" s="35"/>
    </row>
    <row r="768" spans="10:10">
      <c r="J768" s="35"/>
    </row>
    <row r="769" spans="10:10">
      <c r="J769" s="35"/>
    </row>
    <row r="770" spans="10:10">
      <c r="J770" s="35"/>
    </row>
    <row r="771" spans="10:10">
      <c r="J771" s="35"/>
    </row>
    <row r="772" spans="10:10">
      <c r="J772" s="35"/>
    </row>
    <row r="773" spans="10:10">
      <c r="J773" s="35"/>
    </row>
    <row r="774" spans="10:10">
      <c r="J774" s="35"/>
    </row>
    <row r="775" spans="10:10">
      <c r="J775" s="35"/>
    </row>
    <row r="776" spans="10:10">
      <c r="J776" s="35"/>
    </row>
    <row r="777" spans="10:10">
      <c r="J777" s="35"/>
    </row>
    <row r="778" spans="10:10">
      <c r="J778" s="35"/>
    </row>
    <row r="779" spans="10:10">
      <c r="J779" s="35"/>
    </row>
    <row r="780" spans="10:10">
      <c r="J780" s="35"/>
    </row>
    <row r="781" spans="10:10">
      <c r="J781" s="35"/>
    </row>
    <row r="782" spans="10:10">
      <c r="J782" s="35"/>
    </row>
    <row r="783" spans="10:10">
      <c r="J783" s="35"/>
    </row>
    <row r="784" spans="10:10">
      <c r="J784" s="35"/>
    </row>
    <row r="785" spans="10:10">
      <c r="J785" s="35"/>
    </row>
    <row r="786" spans="10:10">
      <c r="J786" s="35"/>
    </row>
    <row r="787" spans="10:10">
      <c r="J787" s="35"/>
    </row>
    <row r="788" spans="10:10">
      <c r="J788" s="35"/>
    </row>
    <row r="789" spans="10:10">
      <c r="J789" s="35"/>
    </row>
    <row r="790" spans="10:10">
      <c r="J790" s="35"/>
    </row>
    <row r="791" spans="10:10">
      <c r="J791" s="35"/>
    </row>
    <row r="792" spans="10:10">
      <c r="J792" s="35"/>
    </row>
    <row r="793" spans="10:10">
      <c r="J793" s="35"/>
    </row>
    <row r="794" spans="10:10">
      <c r="J794" s="35"/>
    </row>
    <row r="795" spans="10:10">
      <c r="J795" s="35"/>
    </row>
    <row r="796" spans="10:10">
      <c r="J796" s="35"/>
    </row>
    <row r="797" spans="10:10">
      <c r="J797" s="35"/>
    </row>
    <row r="798" spans="10:10">
      <c r="J798" s="35"/>
    </row>
    <row r="799" spans="10:10">
      <c r="J799" s="35"/>
    </row>
    <row r="800" spans="10:10">
      <c r="J800" s="35"/>
    </row>
    <row r="801" spans="10:10">
      <c r="J801" s="35"/>
    </row>
    <row r="802" spans="10:10">
      <c r="J802" s="35"/>
    </row>
    <row r="803" spans="10:10">
      <c r="J803" s="35"/>
    </row>
    <row r="804" spans="10:10">
      <c r="J804" s="35"/>
    </row>
    <row r="805" spans="10:10">
      <c r="J805" s="35"/>
    </row>
    <row r="806" spans="10:10">
      <c r="J806" s="35"/>
    </row>
    <row r="807" spans="10:10">
      <c r="J807" s="35"/>
    </row>
    <row r="808" spans="10:10">
      <c r="J808" s="35"/>
    </row>
    <row r="809" spans="10:10">
      <c r="J809" s="35"/>
    </row>
    <row r="810" spans="10:10">
      <c r="J810" s="35"/>
    </row>
    <row r="811" spans="10:10">
      <c r="J811" s="35"/>
    </row>
    <row r="812" spans="10:10">
      <c r="J812" s="35"/>
    </row>
    <row r="813" spans="10:10">
      <c r="J813" s="35"/>
    </row>
    <row r="814" spans="10:10">
      <c r="J814" s="35"/>
    </row>
    <row r="815" spans="10:10">
      <c r="J815" s="35"/>
    </row>
    <row r="816" spans="10:10">
      <c r="J816" s="35"/>
    </row>
    <row r="817" spans="10:10">
      <c r="J817" s="35"/>
    </row>
    <row r="818" spans="10:10">
      <c r="J818" s="35"/>
    </row>
    <row r="819" spans="10:10">
      <c r="J819" s="35"/>
    </row>
    <row r="820" spans="10:10">
      <c r="J820" s="35"/>
    </row>
    <row r="821" spans="10:10">
      <c r="J821" s="35"/>
    </row>
    <row r="822" spans="10:10">
      <c r="J822" s="35"/>
    </row>
    <row r="823" spans="10:10">
      <c r="J823" s="35"/>
    </row>
    <row r="824" spans="10:10">
      <c r="J824" s="35"/>
    </row>
    <row r="825" spans="10:10">
      <c r="J825" s="35"/>
    </row>
    <row r="826" spans="10:10">
      <c r="J826" s="35"/>
    </row>
    <row r="827" spans="10:10">
      <c r="J827" s="35"/>
    </row>
    <row r="828" spans="10:10">
      <c r="J828" s="35"/>
    </row>
    <row r="829" spans="10:10">
      <c r="J829" s="35"/>
    </row>
    <row r="830" spans="10:10">
      <c r="J830" s="35"/>
    </row>
    <row r="831" spans="10:10">
      <c r="J831" s="35"/>
    </row>
    <row r="832" spans="10:10">
      <c r="J832" s="35"/>
    </row>
    <row r="833" spans="10:10">
      <c r="J833" s="35"/>
    </row>
    <row r="834" spans="10:10">
      <c r="J834" s="35"/>
    </row>
    <row r="835" spans="10:10">
      <c r="J835" s="35"/>
    </row>
    <row r="836" spans="10:10">
      <c r="J836" s="35"/>
    </row>
    <row r="837" spans="10:10">
      <c r="J837" s="35"/>
    </row>
    <row r="838" spans="10:10">
      <c r="J838" s="35"/>
    </row>
    <row r="839" spans="10:10">
      <c r="J839" s="35"/>
    </row>
    <row r="840" spans="10:10">
      <c r="J840" s="35"/>
    </row>
    <row r="841" spans="10:10">
      <c r="J841" s="35"/>
    </row>
    <row r="842" spans="10:10">
      <c r="J842" s="35"/>
    </row>
    <row r="843" spans="10:10">
      <c r="J843" s="35"/>
    </row>
    <row r="844" spans="10:10">
      <c r="J844" s="35"/>
    </row>
    <row r="845" spans="10:10">
      <c r="J845" s="35"/>
    </row>
    <row r="846" spans="10:10">
      <c r="J846" s="35"/>
    </row>
    <row r="847" spans="10:10">
      <c r="J847" s="35"/>
    </row>
    <row r="848" spans="10:10">
      <c r="J848" s="35"/>
    </row>
    <row r="849" spans="10:10">
      <c r="J849" s="35"/>
    </row>
    <row r="850" spans="10:10">
      <c r="J850" s="35"/>
    </row>
    <row r="851" spans="10:10">
      <c r="J851" s="35"/>
    </row>
    <row r="852" spans="10:10">
      <c r="J852" s="35"/>
    </row>
    <row r="853" spans="10:10">
      <c r="J853" s="35"/>
    </row>
    <row r="854" spans="10:10">
      <c r="J854" s="35"/>
    </row>
    <row r="855" spans="10:10">
      <c r="J855" s="35"/>
    </row>
    <row r="856" spans="10:10">
      <c r="J856" s="35"/>
    </row>
    <row r="857" spans="10:10">
      <c r="J857" s="35"/>
    </row>
    <row r="858" spans="10:10">
      <c r="J858" s="35"/>
    </row>
    <row r="859" spans="10:10">
      <c r="J859" s="35"/>
    </row>
    <row r="860" spans="10:10">
      <c r="J860" s="35"/>
    </row>
    <row r="861" spans="10:10">
      <c r="J861" s="35"/>
    </row>
    <row r="862" spans="10:10">
      <c r="J862" s="35"/>
    </row>
    <row r="863" spans="10:10">
      <c r="J863" s="35"/>
    </row>
    <row r="864" spans="10:10">
      <c r="J864" s="35"/>
    </row>
    <row r="865" spans="10:10">
      <c r="J865" s="35"/>
    </row>
    <row r="866" spans="10:10">
      <c r="J866" s="35"/>
    </row>
    <row r="867" spans="10:10">
      <c r="J867" s="35"/>
    </row>
    <row r="868" spans="10:10">
      <c r="J868" s="35"/>
    </row>
    <row r="869" spans="10:10">
      <c r="J869" s="35"/>
    </row>
    <row r="870" spans="10:10">
      <c r="J870" s="35"/>
    </row>
    <row r="871" spans="10:10">
      <c r="J871" s="35"/>
    </row>
    <row r="872" spans="10:10">
      <c r="J872" s="35"/>
    </row>
    <row r="873" spans="10:10">
      <c r="J873" s="35"/>
    </row>
    <row r="874" spans="10:10">
      <c r="J874" s="35"/>
    </row>
    <row r="875" spans="10:10">
      <c r="J875" s="35"/>
    </row>
    <row r="876" spans="10:10">
      <c r="J876" s="35"/>
    </row>
    <row r="877" spans="10:10">
      <c r="J877" s="35"/>
    </row>
    <row r="878" spans="10:10">
      <c r="J878" s="35"/>
    </row>
    <row r="879" spans="10:10">
      <c r="J879" s="35"/>
    </row>
    <row r="880" spans="10:10">
      <c r="J880" s="35"/>
    </row>
    <row r="881" spans="10:10">
      <c r="J881" s="35"/>
    </row>
    <row r="882" spans="10:10">
      <c r="J882" s="35"/>
    </row>
    <row r="883" spans="10:10">
      <c r="J883" s="35"/>
    </row>
    <row r="884" spans="10:10">
      <c r="J884" s="35"/>
    </row>
    <row r="885" spans="10:10">
      <c r="J885" s="35"/>
    </row>
    <row r="886" spans="10:10">
      <c r="J886" s="35"/>
    </row>
    <row r="887" spans="10:10">
      <c r="J887" s="35"/>
    </row>
    <row r="888" spans="10:10">
      <c r="J888" s="35"/>
    </row>
    <row r="889" spans="10:10">
      <c r="J889" s="35"/>
    </row>
    <row r="890" spans="10:10">
      <c r="J890" s="35"/>
    </row>
    <row r="891" spans="10:10">
      <c r="J891" s="35"/>
    </row>
    <row r="892" spans="10:10">
      <c r="J892" s="35"/>
    </row>
    <row r="893" spans="10:10">
      <c r="J893" s="35"/>
    </row>
    <row r="894" spans="10:10">
      <c r="J894" s="35"/>
    </row>
    <row r="895" spans="10:10">
      <c r="J895" s="35"/>
    </row>
    <row r="896" spans="10:10">
      <c r="J896" s="35"/>
    </row>
    <row r="897" spans="10:10">
      <c r="J897" s="35"/>
    </row>
    <row r="898" spans="10:10">
      <c r="J898" s="35"/>
    </row>
    <row r="899" spans="10:10">
      <c r="J899" s="35"/>
    </row>
    <row r="900" spans="10:10">
      <c r="J900" s="35"/>
    </row>
    <row r="901" spans="10:10">
      <c r="J901" s="35"/>
    </row>
    <row r="902" spans="10:10">
      <c r="J902" s="35"/>
    </row>
    <row r="903" spans="10:10">
      <c r="J903" s="35"/>
    </row>
    <row r="904" spans="10:10">
      <c r="J904" s="35"/>
    </row>
    <row r="905" spans="10:10">
      <c r="J905" s="35"/>
    </row>
    <row r="906" spans="10:10">
      <c r="J906" s="35"/>
    </row>
    <row r="907" spans="10:10">
      <c r="J907" s="35"/>
    </row>
    <row r="908" spans="10:10">
      <c r="J908" s="35"/>
    </row>
    <row r="909" spans="10:10">
      <c r="J909" s="35"/>
    </row>
    <row r="910" spans="10:10">
      <c r="J910" s="35"/>
    </row>
    <row r="911" spans="10:10">
      <c r="J911" s="35"/>
    </row>
    <row r="912" spans="10:10">
      <c r="J912" s="35"/>
    </row>
    <row r="913" spans="10:10">
      <c r="J913" s="35"/>
    </row>
    <row r="914" spans="10:10">
      <c r="J914" s="35"/>
    </row>
    <row r="915" spans="10:10">
      <c r="J915" s="35"/>
    </row>
    <row r="916" spans="10:10">
      <c r="J916" s="35"/>
    </row>
    <row r="917" spans="10:10">
      <c r="J917" s="35"/>
    </row>
    <row r="918" spans="10:10">
      <c r="J918" s="35"/>
    </row>
    <row r="919" spans="10:10">
      <c r="J919" s="35"/>
    </row>
    <row r="920" spans="10:10">
      <c r="J920" s="35"/>
    </row>
    <row r="921" spans="10:10">
      <c r="J921" s="35"/>
    </row>
    <row r="922" spans="10:10">
      <c r="J922" s="35"/>
    </row>
    <row r="923" spans="10:10">
      <c r="J923" s="35"/>
    </row>
    <row r="924" spans="10:10">
      <c r="J924" s="35"/>
    </row>
    <row r="925" spans="10:10">
      <c r="J925" s="35"/>
    </row>
    <row r="926" spans="10:10">
      <c r="J926" s="35"/>
    </row>
    <row r="927" spans="10:10">
      <c r="J927" s="35"/>
    </row>
    <row r="928" spans="10:10">
      <c r="J928" s="35"/>
    </row>
    <row r="929" spans="10:10">
      <c r="J929" s="35"/>
    </row>
    <row r="930" spans="10:10">
      <c r="J930" s="35"/>
    </row>
    <row r="931" spans="10:10">
      <c r="J931" s="35"/>
    </row>
    <row r="932" spans="10:10">
      <c r="J932" s="35"/>
    </row>
    <row r="933" spans="10:10">
      <c r="J933" s="35"/>
    </row>
    <row r="934" spans="10:10">
      <c r="J934" s="35"/>
    </row>
    <row r="935" spans="10:10">
      <c r="J935" s="35"/>
    </row>
    <row r="936" spans="10:10">
      <c r="J936" s="35"/>
    </row>
    <row r="937" spans="10:10">
      <c r="J937" s="35"/>
    </row>
    <row r="938" spans="10:10">
      <c r="J938" s="35"/>
    </row>
    <row r="939" spans="10:10">
      <c r="J939" s="35"/>
    </row>
    <row r="940" spans="10:10">
      <c r="J940" s="35"/>
    </row>
    <row r="941" spans="10:10">
      <c r="J941" s="35"/>
    </row>
    <row r="942" spans="10:10">
      <c r="J942" s="35"/>
    </row>
    <row r="943" spans="10:10">
      <c r="J943" s="35"/>
    </row>
    <row r="944" spans="10:10">
      <c r="J944" s="35"/>
    </row>
    <row r="945" spans="10:10">
      <c r="J945" s="35"/>
    </row>
    <row r="946" spans="10:10">
      <c r="J946" s="35"/>
    </row>
    <row r="947" spans="10:10">
      <c r="J947" s="35"/>
    </row>
    <row r="948" spans="10:10">
      <c r="J948" s="35"/>
    </row>
    <row r="949" spans="10:10">
      <c r="J949" s="35"/>
    </row>
    <row r="950" spans="10:10">
      <c r="J950" s="35"/>
    </row>
    <row r="951" spans="10:10">
      <c r="J951" s="35"/>
    </row>
    <row r="952" spans="10:10">
      <c r="J952" s="35"/>
    </row>
    <row r="953" spans="10:10">
      <c r="J953" s="35"/>
    </row>
    <row r="954" spans="10:10">
      <c r="J954" s="35"/>
    </row>
    <row r="955" spans="10:10">
      <c r="J955" s="35"/>
    </row>
    <row r="956" spans="10:10">
      <c r="J956" s="35"/>
    </row>
    <row r="957" spans="10:10">
      <c r="J957" s="35"/>
    </row>
    <row r="958" spans="10:10">
      <c r="J958" s="35"/>
    </row>
    <row r="959" spans="10:10">
      <c r="J959" s="35"/>
    </row>
    <row r="960" spans="10:10">
      <c r="J960" s="35"/>
    </row>
    <row r="961" spans="10:10">
      <c r="J961" s="35"/>
    </row>
    <row r="962" spans="10:10">
      <c r="J962" s="35"/>
    </row>
    <row r="963" spans="10:10">
      <c r="J963" s="35"/>
    </row>
    <row r="964" spans="10:10">
      <c r="J964" s="35"/>
    </row>
    <row r="965" spans="10:10">
      <c r="J965" s="35"/>
    </row>
    <row r="966" spans="10:10">
      <c r="J966" s="35"/>
    </row>
    <row r="967" spans="10:10">
      <c r="J967" s="35"/>
    </row>
    <row r="968" spans="10:10">
      <c r="J968" s="35"/>
    </row>
    <row r="969" spans="10:10">
      <c r="J969" s="35"/>
    </row>
    <row r="970" spans="10:10">
      <c r="J970" s="35"/>
    </row>
    <row r="971" spans="10:10">
      <c r="J971" s="35"/>
    </row>
    <row r="972" spans="10:10">
      <c r="J972" s="35"/>
    </row>
    <row r="973" spans="10:10">
      <c r="J973" s="35"/>
    </row>
    <row r="974" spans="10:10">
      <c r="J974" s="35"/>
    </row>
    <row r="975" spans="10:10">
      <c r="J975" s="35"/>
    </row>
    <row r="976" spans="10:10">
      <c r="J976" s="35"/>
    </row>
    <row r="977" spans="10:10">
      <c r="J977" s="35"/>
    </row>
    <row r="978" spans="10:10">
      <c r="J978" s="35"/>
    </row>
    <row r="979" spans="10:10">
      <c r="J979" s="35"/>
    </row>
    <row r="980" spans="10:10">
      <c r="J980" s="35"/>
    </row>
    <row r="981" spans="10:10">
      <c r="J981" s="35"/>
    </row>
    <row r="982" spans="10:10">
      <c r="J982" s="35"/>
    </row>
    <row r="983" spans="10:10">
      <c r="J983" s="35"/>
    </row>
    <row r="984" spans="10:10">
      <c r="J984" s="35"/>
    </row>
    <row r="985" spans="10:10">
      <c r="J985" s="35"/>
    </row>
    <row r="986" spans="10:10">
      <c r="J986" s="35"/>
    </row>
    <row r="987" spans="10:10">
      <c r="J987" s="35"/>
    </row>
    <row r="988" spans="10:10">
      <c r="J988" s="35"/>
    </row>
    <row r="989" spans="10:10">
      <c r="J989" s="35"/>
    </row>
    <row r="990" spans="10:10">
      <c r="J990" s="35"/>
    </row>
    <row r="991" spans="10:10">
      <c r="J991" s="35"/>
    </row>
    <row r="992" spans="10:10">
      <c r="J992" s="35"/>
    </row>
    <row r="993" spans="10:10">
      <c r="J993" s="35"/>
    </row>
    <row r="994" spans="10:10">
      <c r="J994" s="35"/>
    </row>
    <row r="995" spans="10:10">
      <c r="J995" s="35"/>
    </row>
    <row r="996" spans="10:10">
      <c r="J996" s="35"/>
    </row>
    <row r="997" spans="10:10">
      <c r="J997" s="35"/>
    </row>
    <row r="998" spans="10:10">
      <c r="J998" s="35"/>
    </row>
    <row r="999" spans="10:10">
      <c r="J999" s="35"/>
    </row>
    <row r="1000" spans="10:10">
      <c r="J1000" s="35"/>
    </row>
    <row r="1001" spans="10:10">
      <c r="J1001" s="35"/>
    </row>
    <row r="1002" spans="10:10">
      <c r="J1002" s="35"/>
    </row>
    <row r="1003" spans="10:10">
      <c r="J1003" s="35"/>
    </row>
    <row r="1004" spans="10:10">
      <c r="J1004" s="35"/>
    </row>
    <row r="1005" spans="10:10">
      <c r="J1005" s="35"/>
    </row>
    <row r="1006" spans="10:10">
      <c r="J1006" s="35"/>
    </row>
    <row r="1007" spans="10:10">
      <c r="J1007" s="35"/>
    </row>
    <row r="1008" spans="10:10">
      <c r="J1008" s="35"/>
    </row>
    <row r="1009" spans="10:10">
      <c r="J1009" s="35"/>
    </row>
    <row r="1010" spans="10:10">
      <c r="J1010" s="35"/>
    </row>
    <row r="1011" spans="10:10">
      <c r="J1011" s="35"/>
    </row>
    <row r="1012" spans="10:10">
      <c r="J1012" s="35"/>
    </row>
    <row r="1013" spans="10:10">
      <c r="J1013" s="35"/>
    </row>
    <row r="1014" spans="10:10">
      <c r="J1014" s="35"/>
    </row>
    <row r="1015" spans="10:10">
      <c r="J1015" s="35"/>
    </row>
    <row r="1016" spans="10:10">
      <c r="J1016" s="35"/>
    </row>
    <row r="1017" spans="10:10">
      <c r="J1017" s="35"/>
    </row>
    <row r="1018" spans="10:10">
      <c r="J1018" s="35"/>
    </row>
    <row r="1019" spans="10:10">
      <c r="J1019" s="35"/>
    </row>
    <row r="1020" spans="10:10">
      <c r="J1020" s="35"/>
    </row>
    <row r="1021" spans="10:10">
      <c r="J1021" s="35"/>
    </row>
    <row r="1022" spans="10:10">
      <c r="J1022" s="35"/>
    </row>
    <row r="1023" spans="10:10">
      <c r="J1023" s="35"/>
    </row>
    <row r="1024" spans="10:10">
      <c r="J1024" s="35"/>
    </row>
    <row r="1025" spans="10:10">
      <c r="J1025" s="35"/>
    </row>
    <row r="1026" spans="10:10">
      <c r="J1026" s="35"/>
    </row>
    <row r="1027" spans="10:10">
      <c r="J1027" s="35"/>
    </row>
    <row r="1028" spans="10:10">
      <c r="J1028" s="35"/>
    </row>
    <row r="1029" spans="10:10">
      <c r="J1029" s="35"/>
    </row>
    <row r="1030" spans="10:10">
      <c r="J1030" s="35"/>
    </row>
    <row r="1031" spans="10:10">
      <c r="J1031" s="35"/>
    </row>
    <row r="1032" spans="10:10">
      <c r="J1032" s="35"/>
    </row>
    <row r="1033" spans="10:10">
      <c r="J1033" s="35"/>
    </row>
    <row r="1034" spans="10:10">
      <c r="J1034" s="35"/>
    </row>
    <row r="1035" spans="10:10">
      <c r="J1035" s="35"/>
    </row>
    <row r="1036" spans="10:10">
      <c r="J1036" s="35"/>
    </row>
    <row r="1037" spans="10:10">
      <c r="J1037" s="35"/>
    </row>
    <row r="1038" spans="10:10">
      <c r="J1038" s="35"/>
    </row>
    <row r="1039" spans="10:10">
      <c r="J1039" s="35"/>
    </row>
    <row r="1040" spans="10:10">
      <c r="J1040" s="35"/>
    </row>
    <row r="1041" spans="10:10">
      <c r="J1041" s="35"/>
    </row>
    <row r="1042" spans="10:10">
      <c r="J1042" s="35"/>
    </row>
    <row r="1043" spans="10:10">
      <c r="J1043" s="35"/>
    </row>
    <row r="1044" spans="10:10">
      <c r="J1044" s="35"/>
    </row>
    <row r="1045" spans="10:10">
      <c r="J1045" s="35"/>
    </row>
    <row r="1046" spans="10:10">
      <c r="J1046" s="35"/>
    </row>
    <row r="1047" spans="10:10">
      <c r="J1047" s="35"/>
    </row>
    <row r="1048" spans="10:10">
      <c r="J1048" s="35"/>
    </row>
    <row r="1049" spans="10:10">
      <c r="J1049" s="35"/>
    </row>
    <row r="1050" spans="10:10">
      <c r="J1050" s="35"/>
    </row>
    <row r="1051" spans="10:10">
      <c r="J1051" s="35"/>
    </row>
    <row r="1052" spans="10:10">
      <c r="J1052" s="35"/>
    </row>
    <row r="1053" spans="10:10">
      <c r="J1053" s="35"/>
    </row>
    <row r="1054" spans="10:10">
      <c r="J1054" s="35"/>
    </row>
    <row r="1055" spans="10:10">
      <c r="J1055" s="35"/>
    </row>
    <row r="1056" spans="10:10">
      <c r="J1056" s="35"/>
    </row>
    <row r="1057" spans="10:10">
      <c r="J1057" s="35"/>
    </row>
    <row r="1058" spans="10:10">
      <c r="J1058" s="35"/>
    </row>
    <row r="1059" spans="10:10">
      <c r="J1059" s="35"/>
    </row>
    <row r="1060" spans="10:10">
      <c r="J1060" s="35"/>
    </row>
    <row r="1061" spans="10:10">
      <c r="J1061" s="35"/>
    </row>
    <row r="1062" spans="10:10">
      <c r="J1062" s="35"/>
    </row>
    <row r="1063" spans="10:10">
      <c r="J1063" s="35"/>
    </row>
    <row r="1064" spans="10:10">
      <c r="J1064" s="35"/>
    </row>
    <row r="1065" spans="10:10">
      <c r="J1065" s="35"/>
    </row>
    <row r="1066" spans="10:10">
      <c r="J1066" s="35"/>
    </row>
    <row r="1067" spans="10:10">
      <c r="J1067" s="35"/>
    </row>
    <row r="1068" spans="10:10">
      <c r="J1068" s="35"/>
    </row>
    <row r="1069" spans="10:10">
      <c r="J1069" s="35"/>
    </row>
    <row r="1070" spans="10:10">
      <c r="J1070" s="35"/>
    </row>
    <row r="1071" spans="10:10">
      <c r="J1071" s="35"/>
    </row>
    <row r="1072" spans="10:10">
      <c r="J1072" s="35"/>
    </row>
    <row r="1073" spans="10:10">
      <c r="J1073" s="35"/>
    </row>
    <row r="1074" spans="10:10">
      <c r="J1074" s="35"/>
    </row>
    <row r="1075" spans="10:10">
      <c r="J1075" s="35"/>
    </row>
    <row r="1076" spans="10:10">
      <c r="J1076" s="35"/>
    </row>
    <row r="1077" spans="10:10">
      <c r="J1077" s="35"/>
    </row>
    <row r="1078" spans="10:10">
      <c r="J1078" s="35"/>
    </row>
    <row r="1079" spans="10:10">
      <c r="J1079" s="35"/>
    </row>
    <row r="1080" spans="10:10">
      <c r="J1080" s="35"/>
    </row>
    <row r="1081" spans="10:10">
      <c r="J1081" s="35"/>
    </row>
    <row r="1082" spans="10:10">
      <c r="J1082" s="35"/>
    </row>
    <row r="1083" spans="10:10">
      <c r="J1083" s="35"/>
    </row>
    <row r="1084" spans="10:10">
      <c r="J1084" s="35"/>
    </row>
    <row r="1085" spans="10:10">
      <c r="J1085" s="35"/>
    </row>
    <row r="1086" spans="10:10">
      <c r="J1086" s="35"/>
    </row>
    <row r="1087" spans="10:10">
      <c r="J1087" s="35"/>
    </row>
    <row r="1088" spans="10:10">
      <c r="J1088" s="35"/>
    </row>
    <row r="1089" spans="10:10">
      <c r="J1089" s="35"/>
    </row>
    <row r="1090" spans="10:10">
      <c r="J1090" s="35"/>
    </row>
    <row r="1091" spans="10:10">
      <c r="J1091" s="35"/>
    </row>
    <row r="1092" spans="10:10">
      <c r="J1092" s="35"/>
    </row>
    <row r="1093" spans="10:10">
      <c r="J1093" s="35"/>
    </row>
    <row r="1094" spans="10:10">
      <c r="J1094" s="35"/>
    </row>
    <row r="1095" spans="10:10">
      <c r="J1095" s="35"/>
    </row>
    <row r="1096" spans="10:10">
      <c r="J1096" s="35"/>
    </row>
    <row r="1097" spans="10:10">
      <c r="J1097" s="35"/>
    </row>
    <row r="1098" spans="10:10">
      <c r="J1098" s="35"/>
    </row>
    <row r="1099" spans="10:10">
      <c r="J1099" s="35"/>
    </row>
    <row r="1100" spans="10:10">
      <c r="J1100" s="35"/>
    </row>
    <row r="1101" spans="10:10">
      <c r="J1101" s="35"/>
    </row>
    <row r="1102" spans="10:10">
      <c r="J1102" s="35"/>
    </row>
    <row r="1103" spans="10:10">
      <c r="J1103" s="35"/>
    </row>
    <row r="1104" spans="10:10">
      <c r="J1104" s="35"/>
    </row>
    <row r="1105" spans="10:10">
      <c r="J1105" s="35"/>
    </row>
    <row r="1106" spans="10:10">
      <c r="J1106" s="35"/>
    </row>
    <row r="1107" spans="10:10">
      <c r="J1107" s="35"/>
    </row>
    <row r="1108" spans="10:10">
      <c r="J1108" s="35"/>
    </row>
    <row r="1109" spans="10:10">
      <c r="J1109" s="35"/>
    </row>
    <row r="1110" spans="10:10">
      <c r="J1110" s="35"/>
    </row>
    <row r="1111" spans="10:10">
      <c r="J1111" s="35"/>
    </row>
    <row r="1112" spans="10:10">
      <c r="J1112" s="35"/>
    </row>
    <row r="1113" spans="10:10">
      <c r="J1113" s="35"/>
    </row>
    <row r="1114" spans="10:10">
      <c r="J1114" s="35"/>
    </row>
    <row r="1115" spans="10:10">
      <c r="J1115" s="35"/>
    </row>
    <row r="1116" spans="10:10">
      <c r="J1116" s="35"/>
    </row>
    <row r="1117" spans="10:10">
      <c r="J1117" s="35"/>
    </row>
    <row r="1118" spans="10:10">
      <c r="J1118" s="35"/>
    </row>
    <row r="1119" spans="10:10">
      <c r="J1119" s="35"/>
    </row>
    <row r="1120" spans="10:10">
      <c r="J1120" s="35"/>
    </row>
    <row r="1121" spans="10:10">
      <c r="J1121" s="35"/>
    </row>
    <row r="1122" spans="10:10">
      <c r="J1122" s="35"/>
    </row>
    <row r="1123" spans="10:10">
      <c r="J1123" s="35"/>
    </row>
    <row r="1124" spans="10:10">
      <c r="J1124" s="35"/>
    </row>
    <row r="1125" spans="10:10">
      <c r="J1125" s="35"/>
    </row>
    <row r="1126" spans="10:10">
      <c r="J1126" s="35"/>
    </row>
    <row r="1127" spans="10:10">
      <c r="J1127" s="35"/>
    </row>
    <row r="1128" spans="10:10">
      <c r="J1128" s="35"/>
    </row>
    <row r="1129" spans="10:10">
      <c r="J1129" s="35"/>
    </row>
    <row r="1130" spans="10:10">
      <c r="J1130" s="35"/>
    </row>
    <row r="1131" spans="10:10">
      <c r="J1131" s="35"/>
    </row>
    <row r="1132" spans="10:10">
      <c r="J1132" s="35"/>
    </row>
    <row r="1133" spans="10:10">
      <c r="J1133" s="35"/>
    </row>
    <row r="1134" spans="10:10">
      <c r="J1134" s="35"/>
    </row>
    <row r="1135" spans="10:10">
      <c r="J1135" s="35"/>
    </row>
    <row r="1136" spans="10:10">
      <c r="J1136" s="35"/>
    </row>
    <row r="1137" spans="10:10">
      <c r="J1137" s="35"/>
    </row>
    <row r="1138" spans="10:10">
      <c r="J1138" s="35"/>
    </row>
    <row r="1139" spans="10:10">
      <c r="J1139" s="35"/>
    </row>
    <row r="1140" spans="10:10">
      <c r="J1140" s="35"/>
    </row>
    <row r="1141" spans="10:10">
      <c r="J1141" s="35"/>
    </row>
    <row r="1142" spans="10:10">
      <c r="J1142" s="35"/>
    </row>
    <row r="1143" spans="10:10">
      <c r="J1143" s="35"/>
    </row>
    <row r="1144" spans="10:10">
      <c r="J1144" s="35"/>
    </row>
    <row r="1145" spans="10:10">
      <c r="J1145" s="35"/>
    </row>
    <row r="1146" spans="10:10">
      <c r="J1146" s="35"/>
    </row>
    <row r="1147" spans="10:10">
      <c r="J1147" s="35"/>
    </row>
    <row r="1148" spans="10:10">
      <c r="J1148" s="35"/>
    </row>
    <row r="1149" spans="10:10">
      <c r="J1149" s="35"/>
    </row>
    <row r="1150" spans="10:10">
      <c r="J1150" s="35"/>
    </row>
    <row r="1151" spans="10:10">
      <c r="J1151" s="35"/>
    </row>
    <row r="1152" spans="10:10">
      <c r="J1152" s="35"/>
    </row>
    <row r="1153" spans="10:10">
      <c r="J1153" s="35"/>
    </row>
    <row r="1154" spans="10:10">
      <c r="J1154" s="35"/>
    </row>
    <row r="1155" spans="10:10">
      <c r="J1155" s="35"/>
    </row>
    <row r="1156" spans="10:10">
      <c r="J1156" s="35"/>
    </row>
    <row r="1157" spans="10:10">
      <c r="J1157" s="35"/>
    </row>
    <row r="1158" spans="10:10">
      <c r="J1158" s="35"/>
    </row>
    <row r="1159" spans="10:10">
      <c r="J1159" s="35"/>
    </row>
    <row r="1160" spans="10:10">
      <c r="J1160" s="35"/>
    </row>
    <row r="1161" spans="10:10">
      <c r="J1161" s="35"/>
    </row>
    <row r="1162" spans="10:10">
      <c r="J1162" s="35"/>
    </row>
    <row r="1163" spans="10:10">
      <c r="J1163" s="35"/>
    </row>
    <row r="1164" spans="10:10">
      <c r="J1164" s="35"/>
    </row>
    <row r="1165" spans="10:10">
      <c r="J1165" s="35"/>
    </row>
    <row r="1166" spans="10:10">
      <c r="J1166" s="35"/>
    </row>
    <row r="1167" spans="10:10">
      <c r="J1167" s="35"/>
    </row>
    <row r="1168" spans="10:10">
      <c r="J1168" s="35"/>
    </row>
    <row r="1169" spans="10:10">
      <c r="J1169" s="35"/>
    </row>
    <row r="1170" spans="10:10">
      <c r="J1170" s="35"/>
    </row>
    <row r="1171" spans="10:10">
      <c r="J1171" s="35"/>
    </row>
    <row r="1172" spans="10:10">
      <c r="J1172" s="35"/>
    </row>
    <row r="1173" spans="10:10">
      <c r="J1173" s="35"/>
    </row>
    <row r="1174" spans="10:10">
      <c r="J1174" s="35"/>
    </row>
    <row r="1175" spans="10:10">
      <c r="J1175" s="35"/>
    </row>
    <row r="1176" spans="10:10">
      <c r="J1176" s="35"/>
    </row>
    <row r="1177" spans="10:10">
      <c r="J1177" s="35"/>
    </row>
    <row r="1178" spans="10:10">
      <c r="J1178" s="35"/>
    </row>
    <row r="1179" spans="10:10">
      <c r="J1179" s="35"/>
    </row>
    <row r="1180" spans="10:10">
      <c r="J1180" s="35"/>
    </row>
    <row r="1181" spans="10:10">
      <c r="J1181" s="35"/>
    </row>
    <row r="1182" spans="10:10">
      <c r="J1182" s="35"/>
    </row>
    <row r="1183" spans="10:10">
      <c r="J1183" s="35"/>
    </row>
    <row r="1184" spans="10:10">
      <c r="J1184" s="35"/>
    </row>
    <row r="1185" spans="4:10">
      <c r="J1185" s="35"/>
    </row>
    <row r="1186" spans="4:10">
      <c r="J1186" s="35"/>
    </row>
    <row r="1187" spans="4:10">
      <c r="J1187" s="35"/>
    </row>
    <row r="1188" spans="4:10">
      <c r="J1188" s="35"/>
    </row>
    <row r="1189" spans="4:10">
      <c r="J1189" s="35"/>
    </row>
    <row r="1190" spans="4:10">
      <c r="J1190" s="35"/>
    </row>
    <row r="1191" spans="4:10">
      <c r="J1191" s="35"/>
    </row>
    <row r="1193" spans="4:10">
      <c r="E1193" s="111"/>
      <c r="F1193" s="111"/>
      <c r="G1193" s="111"/>
      <c r="J1193" s="35"/>
    </row>
    <row r="1194" spans="4:10">
      <c r="D1194" s="111"/>
      <c r="E1194" s="111"/>
      <c r="F1194" s="111"/>
      <c r="G1194" s="111"/>
      <c r="H1194" s="111"/>
      <c r="J1194" s="35"/>
    </row>
    <row r="1195" spans="4:10">
      <c r="D1195" s="111"/>
      <c r="E1195" s="111"/>
      <c r="F1195" s="111"/>
      <c r="G1195" s="111"/>
      <c r="J1195" s="35"/>
    </row>
  </sheetData>
  <mergeCells count="7">
    <mergeCell ref="D30:E30"/>
    <mergeCell ref="A1:H1"/>
    <mergeCell ref="A8:A9"/>
    <mergeCell ref="B8:B9"/>
    <mergeCell ref="C8:C9"/>
    <mergeCell ref="D8:D9"/>
    <mergeCell ref="E8:H8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90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73"/>
  <sheetViews>
    <sheetView view="pageLayout" zoomScaleNormal="100" zoomScaleSheetLayoutView="100" workbookViewId="0">
      <selection sqref="A1:H1"/>
    </sheetView>
  </sheetViews>
  <sheetFormatPr defaultColWidth="9.140625" defaultRowHeight="12.75"/>
  <cols>
    <col min="1" max="1" width="5.710937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9.140625" style="4"/>
    <col min="17" max="17" width="14.85546875" style="4" bestFit="1" customWidth="1"/>
    <col min="18" max="16384" width="9.140625" style="4"/>
  </cols>
  <sheetData>
    <row r="1" spans="1:15" s="11" customFormat="1" ht="14.25">
      <c r="A1" s="298" t="s">
        <v>85</v>
      </c>
      <c r="B1" s="298"/>
      <c r="C1" s="298"/>
      <c r="D1" s="298"/>
      <c r="E1" s="298"/>
      <c r="F1" s="298"/>
      <c r="G1" s="298"/>
      <c r="H1" s="298"/>
      <c r="I1" s="201"/>
      <c r="J1" s="201"/>
      <c r="K1" s="201"/>
      <c r="L1" s="201"/>
      <c r="M1" s="201"/>
      <c r="N1" s="201"/>
      <c r="O1" s="201"/>
    </row>
    <row r="2" spans="1:15" s="11" customFormat="1" ht="14.25">
      <c r="A2" s="299" t="str">
        <f>Kopsavilkums!C12</f>
        <v>Būvlaukuma sagatavošanas  un uzturēšanas darbi</v>
      </c>
      <c r="B2" s="299"/>
      <c r="C2" s="299"/>
      <c r="D2" s="299"/>
      <c r="E2" s="299"/>
      <c r="F2" s="299"/>
      <c r="G2" s="299"/>
      <c r="H2" s="299"/>
      <c r="I2" s="202"/>
      <c r="J2" s="202"/>
      <c r="K2" s="202"/>
      <c r="L2" s="202"/>
      <c r="M2" s="202"/>
      <c r="N2" s="202"/>
      <c r="O2" s="202"/>
    </row>
    <row r="3" spans="1:15" s="11" customFormat="1" ht="14.25">
      <c r="A3" s="135" t="s">
        <v>158</v>
      </c>
      <c r="B3" s="182"/>
      <c r="C3" s="182"/>
      <c r="D3" s="182"/>
      <c r="E3" s="182"/>
      <c r="F3" s="182"/>
      <c r="G3" s="182"/>
      <c r="H3" s="182"/>
      <c r="I3" s="202"/>
      <c r="J3" s="202"/>
      <c r="K3" s="202"/>
      <c r="L3" s="202"/>
      <c r="M3" s="202"/>
      <c r="N3" s="202"/>
      <c r="O3" s="202"/>
    </row>
    <row r="4" spans="1:15" s="11" customFormat="1" ht="14.25">
      <c r="A4" s="135" t="s">
        <v>159</v>
      </c>
      <c r="B4" s="182"/>
      <c r="C4" s="182"/>
      <c r="D4" s="182"/>
      <c r="E4" s="182"/>
      <c r="F4" s="182"/>
      <c r="G4" s="182"/>
      <c r="H4" s="182"/>
      <c r="I4" s="202"/>
      <c r="J4" s="202"/>
      <c r="K4" s="202"/>
      <c r="L4" s="202"/>
      <c r="M4" s="202"/>
      <c r="N4" s="202"/>
      <c r="O4" s="202"/>
    </row>
    <row r="5" spans="1:15" s="11" customFormat="1" ht="14.25">
      <c r="A5" s="135" t="s">
        <v>160</v>
      </c>
      <c r="B5" s="182"/>
      <c r="C5" s="182"/>
      <c r="D5" s="182"/>
      <c r="E5" s="182"/>
      <c r="F5" s="182"/>
      <c r="G5" s="182"/>
      <c r="H5" s="182"/>
      <c r="I5" s="202"/>
      <c r="J5" s="202"/>
      <c r="K5" s="202"/>
      <c r="L5" s="202"/>
      <c r="M5" s="202"/>
      <c r="N5" s="202"/>
      <c r="O5" s="202"/>
    </row>
    <row r="6" spans="1:15" s="11" customFormat="1" ht="14.25">
      <c r="A6" s="135"/>
      <c r="B6" s="182"/>
      <c r="C6" s="182"/>
      <c r="D6" s="182"/>
      <c r="E6" s="182"/>
      <c r="F6" s="182"/>
      <c r="G6" s="182"/>
      <c r="H6" s="182"/>
      <c r="I6" s="202"/>
      <c r="J6" s="202"/>
      <c r="K6" s="202"/>
      <c r="L6" s="202"/>
      <c r="M6" s="202"/>
      <c r="N6" s="202"/>
      <c r="O6" s="202"/>
    </row>
    <row r="7" spans="1:15" s="11" customFormat="1" ht="15" thickBot="1">
      <c r="A7" s="28"/>
      <c r="B7" s="29"/>
      <c r="C7" s="29"/>
      <c r="D7" s="29"/>
      <c r="E7" s="10"/>
      <c r="F7" s="10"/>
      <c r="G7" s="10"/>
      <c r="H7" s="10"/>
      <c r="I7" s="10"/>
      <c r="J7" s="217"/>
      <c r="K7" s="217"/>
      <c r="L7" s="217"/>
      <c r="M7" s="217"/>
      <c r="N7" s="203"/>
      <c r="O7" s="203"/>
    </row>
    <row r="8" spans="1:15" s="14" customFormat="1" ht="11.45" customHeight="1">
      <c r="A8" s="277" t="s">
        <v>14</v>
      </c>
      <c r="B8" s="282" t="s">
        <v>15</v>
      </c>
      <c r="C8" s="282"/>
      <c r="D8" s="282"/>
      <c r="E8" s="282" t="s">
        <v>9</v>
      </c>
      <c r="F8" s="282"/>
      <c r="G8" s="282" t="s">
        <v>622</v>
      </c>
      <c r="H8" s="283"/>
      <c r="I8"/>
      <c r="J8"/>
      <c r="K8"/>
      <c r="L8"/>
      <c r="M8"/>
      <c r="N8"/>
      <c r="O8"/>
    </row>
    <row r="9" spans="1:15" s="14" customFormat="1" ht="11.45" customHeight="1">
      <c r="A9" s="278"/>
      <c r="B9" s="284"/>
      <c r="C9" s="284"/>
      <c r="D9" s="284"/>
      <c r="E9" s="284"/>
      <c r="F9" s="284"/>
      <c r="G9" s="284"/>
      <c r="H9" s="285"/>
      <c r="I9"/>
      <c r="J9"/>
      <c r="K9"/>
      <c r="L9"/>
      <c r="M9"/>
      <c r="N9"/>
      <c r="O9"/>
    </row>
    <row r="10" spans="1:15" s="14" customFormat="1" ht="11.45" customHeight="1">
      <c r="A10" s="278"/>
      <c r="B10" s="284"/>
      <c r="C10" s="284"/>
      <c r="D10" s="284"/>
      <c r="E10" s="284"/>
      <c r="F10" s="284"/>
      <c r="G10" s="284"/>
      <c r="H10" s="285"/>
      <c r="I10"/>
      <c r="J10"/>
      <c r="K10"/>
      <c r="L10"/>
      <c r="M10"/>
      <c r="N10"/>
      <c r="O10"/>
    </row>
    <row r="11" spans="1:15" s="14" customFormat="1" ht="11.45" customHeight="1">
      <c r="A11" s="278"/>
      <c r="B11" s="284"/>
      <c r="C11" s="284"/>
      <c r="D11" s="284"/>
      <c r="E11" s="284"/>
      <c r="F11" s="284"/>
      <c r="G11" s="284"/>
      <c r="H11" s="285"/>
      <c r="I11"/>
      <c r="J11"/>
      <c r="K11"/>
      <c r="L11"/>
      <c r="M11"/>
      <c r="N11"/>
      <c r="O11"/>
    </row>
    <row r="12" spans="1:15" s="14" customFormat="1" ht="11.45" customHeight="1" thickBot="1">
      <c r="A12" s="279"/>
      <c r="B12" s="286"/>
      <c r="C12" s="286"/>
      <c r="D12" s="286"/>
      <c r="E12" s="286"/>
      <c r="F12" s="286"/>
      <c r="G12" s="286"/>
      <c r="H12" s="287"/>
      <c r="I12"/>
      <c r="J12"/>
      <c r="K12"/>
      <c r="L12"/>
      <c r="M12"/>
      <c r="N12"/>
      <c r="O12"/>
    </row>
    <row r="13" spans="1:15" s="148" customFormat="1" ht="11.45" customHeight="1" thickTop="1" thickBot="1">
      <c r="A13" s="228" t="s">
        <v>3</v>
      </c>
      <c r="B13" s="288" t="s">
        <v>4</v>
      </c>
      <c r="C13" s="288"/>
      <c r="D13" s="288"/>
      <c r="E13" s="288" t="s">
        <v>5</v>
      </c>
      <c r="F13" s="288"/>
      <c r="G13" s="288" t="s">
        <v>6</v>
      </c>
      <c r="H13" s="289"/>
      <c r="I13" s="213"/>
      <c r="J13" s="213"/>
      <c r="K13" s="213"/>
      <c r="L13" s="213"/>
      <c r="M13" s="213"/>
      <c r="N13" s="213"/>
      <c r="O13" s="213"/>
    </row>
    <row r="14" spans="1:15" s="5" customFormat="1" ht="15" thickTop="1">
      <c r="A14" s="229">
        <v>1</v>
      </c>
      <c r="B14" s="303" t="s">
        <v>102</v>
      </c>
      <c r="C14" s="303"/>
      <c r="D14" s="303"/>
      <c r="E14" s="294" t="s">
        <v>17</v>
      </c>
      <c r="F14" s="294"/>
      <c r="G14" s="290">
        <v>1</v>
      </c>
      <c r="H14" s="291"/>
      <c r="I14"/>
      <c r="J14"/>
      <c r="K14"/>
      <c r="L14"/>
      <c r="M14"/>
      <c r="N14"/>
      <c r="O14"/>
    </row>
    <row r="15" spans="1:15" s="5" customFormat="1" ht="14.25">
      <c r="A15" s="230">
        <f t="shared" ref="A15:A17" si="0">A14+1</f>
        <v>2</v>
      </c>
      <c r="B15" s="302" t="s">
        <v>103</v>
      </c>
      <c r="C15" s="302"/>
      <c r="D15" s="302"/>
      <c r="E15" s="295" t="s">
        <v>18</v>
      </c>
      <c r="F15" s="295"/>
      <c r="G15" s="275">
        <v>2</v>
      </c>
      <c r="H15" s="276"/>
      <c r="I15" s="178"/>
      <c r="J15" s="178"/>
      <c r="K15" s="178"/>
      <c r="L15" s="178"/>
      <c r="M15" s="178"/>
      <c r="N15" s="178"/>
      <c r="O15" s="178"/>
    </row>
    <row r="16" spans="1:15" s="5" customFormat="1" ht="14.25">
      <c r="A16" s="230">
        <f t="shared" si="0"/>
        <v>3</v>
      </c>
      <c r="B16" s="302" t="s">
        <v>143</v>
      </c>
      <c r="C16" s="302"/>
      <c r="D16" s="302"/>
      <c r="E16" s="295" t="s">
        <v>17</v>
      </c>
      <c r="F16" s="295"/>
      <c r="G16" s="280">
        <v>1</v>
      </c>
      <c r="H16" s="281"/>
      <c r="I16" s="178"/>
      <c r="J16" s="178"/>
      <c r="K16" s="178"/>
      <c r="L16" s="178"/>
      <c r="M16" s="178"/>
      <c r="N16" s="178"/>
      <c r="O16" s="178"/>
    </row>
    <row r="17" spans="1:31" s="5" customFormat="1" ht="14.25">
      <c r="A17" s="230">
        <f t="shared" si="0"/>
        <v>4</v>
      </c>
      <c r="B17" s="302" t="s">
        <v>25</v>
      </c>
      <c r="C17" s="302"/>
      <c r="D17" s="302"/>
      <c r="E17" s="295" t="s">
        <v>18</v>
      </c>
      <c r="F17" s="295"/>
      <c r="G17" s="275">
        <v>2</v>
      </c>
      <c r="H17" s="276"/>
      <c r="I17" s="178"/>
      <c r="J17" s="178"/>
      <c r="K17" s="178"/>
      <c r="L17" s="178"/>
      <c r="M17" s="178"/>
      <c r="N17" s="178"/>
      <c r="O17" s="178"/>
    </row>
    <row r="18" spans="1:31" s="5" customFormat="1" ht="14.25">
      <c r="A18" s="230">
        <f>A17+1</f>
        <v>5</v>
      </c>
      <c r="B18" s="302" t="s">
        <v>104</v>
      </c>
      <c r="C18" s="302"/>
      <c r="D18" s="302"/>
      <c r="E18" s="295" t="s">
        <v>18</v>
      </c>
      <c r="F18" s="295"/>
      <c r="G18" s="275">
        <v>2</v>
      </c>
      <c r="H18" s="276"/>
      <c r="I18" s="178"/>
      <c r="J18" s="178"/>
      <c r="K18" s="178"/>
      <c r="L18" s="178"/>
      <c r="M18" s="178"/>
      <c r="N18" s="178"/>
      <c r="O18" s="178"/>
    </row>
    <row r="19" spans="1:31" s="10" customFormat="1" ht="28.5" customHeight="1">
      <c r="A19" s="230">
        <f>A18+1</f>
        <v>6</v>
      </c>
      <c r="B19" s="302" t="s">
        <v>80</v>
      </c>
      <c r="C19" s="302"/>
      <c r="D19" s="302"/>
      <c r="E19" s="295" t="s">
        <v>31</v>
      </c>
      <c r="F19" s="295"/>
      <c r="G19" s="275">
        <v>12</v>
      </c>
      <c r="H19" s="276"/>
      <c r="I19" s="178"/>
      <c r="J19" s="178"/>
      <c r="K19" s="178"/>
      <c r="L19" s="178"/>
      <c r="M19" s="178"/>
      <c r="N19" s="178"/>
      <c r="O19" s="178"/>
    </row>
    <row r="20" spans="1:31" s="5" customFormat="1" ht="14.25">
      <c r="A20" s="230"/>
      <c r="B20" s="300" t="s">
        <v>162</v>
      </c>
      <c r="C20" s="300"/>
      <c r="D20" s="300"/>
      <c r="E20" s="295" t="s">
        <v>31</v>
      </c>
      <c r="F20" s="295"/>
      <c r="G20" s="275">
        <f>G19</f>
        <v>12</v>
      </c>
      <c r="H20" s="276"/>
      <c r="I20" s="178"/>
      <c r="J20" s="178"/>
      <c r="K20" s="178"/>
      <c r="L20" s="178"/>
      <c r="M20" s="178"/>
      <c r="N20" s="178"/>
      <c r="O20" s="178"/>
    </row>
    <row r="21" spans="1:31" s="8" customFormat="1">
      <c r="A21" s="230">
        <f>A19+1</f>
        <v>7</v>
      </c>
      <c r="B21" s="301" t="s">
        <v>79</v>
      </c>
      <c r="C21" s="301"/>
      <c r="D21" s="301"/>
      <c r="E21" s="295" t="s">
        <v>31</v>
      </c>
      <c r="F21" s="295"/>
      <c r="G21" s="275">
        <f>G19</f>
        <v>12</v>
      </c>
      <c r="H21" s="276"/>
      <c r="I21" s="178"/>
      <c r="J21" s="178"/>
      <c r="K21" s="178"/>
      <c r="L21" s="178"/>
      <c r="M21" s="178"/>
      <c r="N21" s="178"/>
      <c r="O21" s="178"/>
      <c r="T21" s="137"/>
      <c r="U21" s="138"/>
      <c r="V21" s="138"/>
      <c r="W21" s="138"/>
      <c r="X21" s="138"/>
      <c r="Y21" s="138"/>
      <c r="Z21" s="138"/>
      <c r="AA21" s="139"/>
      <c r="AB21" s="140"/>
      <c r="AC21" s="137"/>
    </row>
    <row r="22" spans="1:31" s="10" customFormat="1" ht="14.25">
      <c r="A22" s="230">
        <f>A21+1</f>
        <v>8</v>
      </c>
      <c r="B22" s="301" t="s">
        <v>20</v>
      </c>
      <c r="C22" s="301"/>
      <c r="D22" s="301"/>
      <c r="E22" s="295" t="s">
        <v>19</v>
      </c>
      <c r="F22" s="295"/>
      <c r="G22" s="275">
        <v>18</v>
      </c>
      <c r="H22" s="276"/>
      <c r="I22" s="178"/>
      <c r="J22" s="178"/>
      <c r="K22" s="178"/>
      <c r="L22" s="178"/>
      <c r="M22" s="178"/>
      <c r="N22" s="178"/>
      <c r="O22" s="178"/>
    </row>
    <row r="23" spans="1:31" s="8" customFormat="1">
      <c r="A23" s="230">
        <f>A22+1</f>
        <v>9</v>
      </c>
      <c r="B23" s="301" t="s">
        <v>34</v>
      </c>
      <c r="C23" s="301"/>
      <c r="D23" s="301"/>
      <c r="E23" s="295" t="s">
        <v>13</v>
      </c>
      <c r="F23" s="295"/>
      <c r="G23" s="275">
        <v>24</v>
      </c>
      <c r="H23" s="276"/>
      <c r="I23" s="178"/>
      <c r="J23" s="178"/>
      <c r="K23" s="178"/>
      <c r="L23" s="178"/>
      <c r="M23" s="178"/>
      <c r="N23" s="178"/>
      <c r="O23" s="178"/>
      <c r="T23" s="137"/>
      <c r="U23" s="138"/>
      <c r="V23" s="138"/>
      <c r="W23" s="138"/>
      <c r="X23" s="138"/>
      <c r="Y23" s="138"/>
      <c r="Z23" s="138"/>
      <c r="AA23" s="139"/>
      <c r="AB23" s="140"/>
      <c r="AC23" s="137"/>
    </row>
    <row r="24" spans="1:31" s="8" customFormat="1">
      <c r="A24" s="230">
        <f>A23+1</f>
        <v>10</v>
      </c>
      <c r="B24" s="301" t="s">
        <v>112</v>
      </c>
      <c r="C24" s="301"/>
      <c r="D24" s="301"/>
      <c r="E24" s="295" t="s">
        <v>17</v>
      </c>
      <c r="F24" s="295"/>
      <c r="G24" s="280">
        <v>1</v>
      </c>
      <c r="H24" s="281"/>
      <c r="I24" s="178"/>
      <c r="J24" s="178"/>
      <c r="K24" s="178"/>
      <c r="L24" s="178"/>
      <c r="M24" s="178"/>
      <c r="N24" s="178"/>
      <c r="O24" s="178"/>
      <c r="T24" s="137"/>
      <c r="U24" s="138"/>
      <c r="V24" s="138"/>
      <c r="W24" s="138"/>
      <c r="X24" s="138"/>
      <c r="Y24" s="138"/>
      <c r="Z24" s="138"/>
      <c r="AA24" s="139"/>
      <c r="AB24" s="140"/>
      <c r="AC24" s="137"/>
    </row>
    <row r="25" spans="1:31" s="10" customFormat="1" ht="32.25" customHeight="1" thickBot="1">
      <c r="A25" s="231">
        <f>A24+1</f>
        <v>11</v>
      </c>
      <c r="B25" s="297" t="s">
        <v>32</v>
      </c>
      <c r="C25" s="297"/>
      <c r="D25" s="297"/>
      <c r="E25" s="296" t="s">
        <v>23</v>
      </c>
      <c r="F25" s="296"/>
      <c r="G25" s="292">
        <v>1</v>
      </c>
      <c r="H25" s="293"/>
      <c r="I25" s="178"/>
      <c r="J25" s="178"/>
      <c r="K25" s="178"/>
      <c r="L25" s="178"/>
      <c r="M25" s="178"/>
      <c r="N25" s="178"/>
      <c r="O25" s="178"/>
    </row>
    <row r="26" spans="1:31" s="11" customFormat="1" ht="42.6" customHeight="1">
      <c r="A26" s="9"/>
      <c r="B26" s="218"/>
      <c r="C26" s="219"/>
      <c r="D26" s="220"/>
      <c r="E26" s="221"/>
      <c r="F26" s="221"/>
      <c r="G26" s="221"/>
      <c r="H26" s="221"/>
      <c r="I26" s="205"/>
      <c r="J26" s="205"/>
      <c r="K26" s="206"/>
      <c r="L26" s="206"/>
      <c r="M26" s="206"/>
      <c r="N26" s="206"/>
      <c r="O26" s="20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11" customFormat="1" ht="42.6" customHeight="1">
      <c r="A27" s="148"/>
      <c r="B27" s="215"/>
      <c r="C27" s="214"/>
      <c r="D27" s="222"/>
      <c r="E27" s="215"/>
      <c r="F27" s="215"/>
      <c r="G27" s="215"/>
      <c r="H27" s="215"/>
      <c r="I27" s="187"/>
      <c r="J27" s="187"/>
      <c r="K27" s="207"/>
      <c r="L27" s="208"/>
      <c r="M27" s="208"/>
      <c r="N27" s="208"/>
      <c r="O27" s="208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s="11" customFormat="1" ht="42.6" customHeight="1">
      <c r="A28" s="9"/>
      <c r="B28" s="227"/>
      <c r="C28" s="224"/>
      <c r="D28" s="225"/>
      <c r="E28" s="148"/>
      <c r="F28" s="148"/>
      <c r="G28" s="148"/>
      <c r="H28" s="148"/>
      <c r="I28" s="14"/>
      <c r="J28" s="14"/>
      <c r="K28" s="33"/>
      <c r="L28" s="33"/>
      <c r="M28" s="33"/>
      <c r="N28" s="33"/>
      <c r="O28" s="33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11" customFormat="1" ht="42.6" customHeight="1">
      <c r="A29" s="9"/>
      <c r="B29" s="223"/>
      <c r="C29" s="224"/>
      <c r="D29" s="225"/>
      <c r="E29" s="148"/>
      <c r="F29" s="148"/>
      <c r="G29" s="148"/>
      <c r="H29" s="148"/>
      <c r="I29" s="14"/>
      <c r="J29" s="14"/>
      <c r="K29" s="33"/>
      <c r="L29" s="33"/>
      <c r="M29" s="33"/>
      <c r="N29" s="33"/>
      <c r="O29" s="33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1" customFormat="1" ht="42.6" customHeight="1">
      <c r="A30" s="136"/>
      <c r="B30" s="226"/>
      <c r="C30" s="136"/>
      <c r="D30" s="136"/>
      <c r="E30" s="136"/>
      <c r="F30" s="136"/>
      <c r="G30" s="136"/>
      <c r="H30" s="13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11" customFormat="1" ht="14.25">
      <c r="A31" s="4"/>
      <c r="B31" s="55"/>
      <c r="C31" s="4"/>
      <c r="D31" s="4"/>
      <c r="E31" s="4"/>
      <c r="F31" s="4"/>
      <c r="G31" s="4"/>
      <c r="H31" s="4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11" customFormat="1" ht="14.25">
      <c r="A32" s="4"/>
      <c r="B32" s="102"/>
      <c r="C32" s="4"/>
      <c r="D32" s="4"/>
      <c r="E32" s="4"/>
      <c r="F32" s="4"/>
      <c r="G32" s="4"/>
      <c r="H32" s="4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s="11" customFormat="1" ht="14.25">
      <c r="A33" s="4"/>
      <c r="B33" s="4"/>
      <c r="C33" s="4"/>
      <c r="D33" s="4"/>
      <c r="E33" s="4"/>
      <c r="F33" s="4"/>
      <c r="G33" s="4"/>
      <c r="H33" s="4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s="11" customFormat="1" ht="14.25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6:31"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6:31"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6:31"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6:31"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6:31"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6:31"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6:31"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6:31"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6:31"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6:31"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6:31"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6:31"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6:31"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6:31"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6:31"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6:31"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6:31"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6:31"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6:31"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6:31"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6:31"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6:31"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6:31"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6:31"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6:31"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6:31"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6:31"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6:31"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6:31"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6:31"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6:31"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6:31"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</sheetData>
  <mergeCells count="45">
    <mergeCell ref="B25:D25"/>
    <mergeCell ref="A1:H1"/>
    <mergeCell ref="A2:H2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8:D12"/>
    <mergeCell ref="B13:D13"/>
    <mergeCell ref="B14:D14"/>
    <mergeCell ref="G22:H22"/>
    <mergeCell ref="G23:H23"/>
    <mergeCell ref="G24:H24"/>
    <mergeCell ref="G25:H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G20:H20"/>
    <mergeCell ref="G21:H21"/>
    <mergeCell ref="A8:A12"/>
    <mergeCell ref="G15:H15"/>
    <mergeCell ref="G16:H16"/>
    <mergeCell ref="G17:H17"/>
    <mergeCell ref="G18:H18"/>
    <mergeCell ref="G19:H19"/>
    <mergeCell ref="G8:H12"/>
    <mergeCell ref="G13:H13"/>
    <mergeCell ref="E8:F12"/>
    <mergeCell ref="E13:F13"/>
    <mergeCell ref="G14:H14"/>
  </mergeCells>
  <phoneticPr fontId="17" type="noConversion"/>
  <printOptions horizontalCentered="1"/>
  <pageMargins left="0.7" right="0.7" top="0.75" bottom="0.75" header="0.3" footer="0.3"/>
  <pageSetup paperSize="9" scale="90" orientation="portrait" r:id="rId1"/>
  <ignoredErrors>
    <ignoredError sqref="A13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52"/>
  <sheetViews>
    <sheetView view="pageLayout" zoomScaleNormal="100" workbookViewId="0">
      <selection activeCell="B29" sqref="B29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8" width="9" style="4" customWidth="1"/>
    <col min="9" max="9" width="8.42578125" style="4" customWidth="1"/>
    <col min="10" max="13" width="9.28515625" style="4" customWidth="1"/>
    <col min="14" max="14" width="12" style="4" customWidth="1"/>
    <col min="15" max="15" width="11.7109375" style="4" bestFit="1" customWidth="1"/>
    <col min="16" max="16" width="11.7109375" style="164" bestFit="1" customWidth="1"/>
    <col min="17" max="17" width="10" style="165" bestFit="1" customWidth="1"/>
    <col min="18" max="18" width="11.7109375" style="165" bestFit="1" customWidth="1"/>
    <col min="19" max="16384" width="9.140625" style="4"/>
  </cols>
  <sheetData>
    <row r="1" spans="1:18" s="11" customFormat="1" ht="14.25">
      <c r="A1" s="305" t="s">
        <v>86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P1" s="12"/>
      <c r="Q1" s="13"/>
      <c r="R1" s="13"/>
    </row>
    <row r="2" spans="1:18" s="11" customFormat="1" ht="14.25">
      <c r="A2" s="304" t="str">
        <f>Kopsavilkums!C13</f>
        <v>Demontāžas darbi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P2" s="12"/>
      <c r="Q2" s="13"/>
      <c r="R2" s="13"/>
    </row>
    <row r="3" spans="1:18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P3" s="12"/>
      <c r="Q3" s="13"/>
      <c r="R3" s="13"/>
    </row>
    <row r="4" spans="1:18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/>
      <c r="K4"/>
      <c r="L4"/>
      <c r="M4"/>
      <c r="N4"/>
      <c r="P4" s="12"/>
      <c r="Q4" s="13"/>
      <c r="R4" s="13"/>
    </row>
    <row r="5" spans="1:18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/>
      <c r="K5"/>
      <c r="L5"/>
      <c r="M5"/>
      <c r="N5"/>
      <c r="P5" s="12"/>
      <c r="Q5" s="13"/>
      <c r="R5" s="13"/>
    </row>
    <row r="6" spans="1:18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/>
      <c r="K6"/>
      <c r="L6"/>
      <c r="M6"/>
      <c r="N6"/>
      <c r="P6" s="12"/>
      <c r="Q6" s="13"/>
      <c r="R6" s="13"/>
    </row>
    <row r="7" spans="1:18" ht="13.5" thickBot="1">
      <c r="E7" s="14"/>
      <c r="F7" s="14"/>
      <c r="G7" s="14"/>
      <c r="H7" s="14"/>
      <c r="I7" s="14"/>
      <c r="J7"/>
      <c r="K7"/>
      <c r="L7"/>
      <c r="M7"/>
      <c r="N7"/>
    </row>
    <row r="8" spans="1:18" s="14" customFormat="1" ht="10.35" customHeight="1">
      <c r="A8" s="277" t="s">
        <v>14</v>
      </c>
      <c r="B8" s="306" t="s">
        <v>15</v>
      </c>
      <c r="C8" s="307"/>
      <c r="D8" s="307"/>
      <c r="E8" s="308"/>
      <c r="F8" s="306" t="s">
        <v>9</v>
      </c>
      <c r="G8" s="308"/>
      <c r="H8" s="306" t="s">
        <v>622</v>
      </c>
      <c r="I8" s="315"/>
      <c r="J8"/>
      <c r="K8"/>
      <c r="L8"/>
      <c r="M8"/>
      <c r="N8"/>
      <c r="P8" s="166"/>
      <c r="Q8" s="147"/>
      <c r="R8" s="147"/>
    </row>
    <row r="9" spans="1:18" s="14" customFormat="1" ht="10.35" customHeight="1">
      <c r="A9" s="278"/>
      <c r="B9" s="309"/>
      <c r="C9" s="310"/>
      <c r="D9" s="310"/>
      <c r="E9" s="311"/>
      <c r="F9" s="309"/>
      <c r="G9" s="311"/>
      <c r="H9" s="309"/>
      <c r="I9" s="316"/>
      <c r="J9"/>
      <c r="K9"/>
      <c r="L9"/>
      <c r="M9"/>
      <c r="N9"/>
      <c r="P9" s="166"/>
      <c r="Q9" s="147"/>
      <c r="R9" s="147"/>
    </row>
    <row r="10" spans="1:18" s="14" customFormat="1" ht="10.35" customHeight="1">
      <c r="A10" s="278"/>
      <c r="B10" s="309"/>
      <c r="C10" s="310"/>
      <c r="D10" s="310"/>
      <c r="E10" s="311"/>
      <c r="F10" s="309"/>
      <c r="G10" s="311"/>
      <c r="H10" s="309"/>
      <c r="I10" s="316"/>
      <c r="J10"/>
      <c r="K10"/>
      <c r="L10"/>
      <c r="M10"/>
      <c r="N10"/>
      <c r="P10" s="166"/>
      <c r="Q10" s="147"/>
      <c r="R10" s="147"/>
    </row>
    <row r="11" spans="1:18" s="14" customFormat="1" ht="10.35" customHeight="1">
      <c r="A11" s="278"/>
      <c r="B11" s="309"/>
      <c r="C11" s="310"/>
      <c r="D11" s="310"/>
      <c r="E11" s="311"/>
      <c r="F11" s="309"/>
      <c r="G11" s="311"/>
      <c r="H11" s="309"/>
      <c r="I11" s="316"/>
      <c r="J11"/>
      <c r="K11"/>
      <c r="L11"/>
      <c r="M11"/>
      <c r="N11"/>
      <c r="P11" s="166"/>
      <c r="Q11" s="147"/>
      <c r="R11" s="147"/>
    </row>
    <row r="12" spans="1:18" s="14" customFormat="1" ht="10.35" customHeight="1" thickBot="1">
      <c r="A12" s="279"/>
      <c r="B12" s="312"/>
      <c r="C12" s="313"/>
      <c r="D12" s="313"/>
      <c r="E12" s="314"/>
      <c r="F12" s="312"/>
      <c r="G12" s="314"/>
      <c r="H12" s="312"/>
      <c r="I12" s="317"/>
      <c r="J12"/>
      <c r="K12"/>
      <c r="L12"/>
      <c r="M12"/>
      <c r="N12"/>
      <c r="P12" s="166"/>
      <c r="Q12" s="147"/>
      <c r="R12" s="147"/>
    </row>
    <row r="13" spans="1:18" s="14" customFormat="1" ht="12.75" customHeight="1" thickTop="1" thickBot="1">
      <c r="A13" s="37">
        <v>1</v>
      </c>
      <c r="B13" s="318">
        <v>2</v>
      </c>
      <c r="C13" s="319"/>
      <c r="D13" s="319"/>
      <c r="E13" s="320"/>
      <c r="F13" s="318">
        <v>3</v>
      </c>
      <c r="G13" s="320"/>
      <c r="H13" s="318">
        <v>4</v>
      </c>
      <c r="I13" s="339"/>
      <c r="J13"/>
      <c r="K13"/>
      <c r="L13"/>
      <c r="M13"/>
      <c r="N13"/>
      <c r="P13" s="166"/>
      <c r="Q13" s="147"/>
      <c r="R13" s="147"/>
    </row>
    <row r="14" spans="1:18" s="149" customFormat="1" ht="13.5" thickTop="1">
      <c r="A14" s="235">
        <v>1</v>
      </c>
      <c r="B14" s="321" t="s">
        <v>163</v>
      </c>
      <c r="C14" s="322"/>
      <c r="D14" s="322"/>
      <c r="E14" s="323"/>
      <c r="F14" s="333" t="s">
        <v>7</v>
      </c>
      <c r="G14" s="334"/>
      <c r="H14" s="340">
        <v>3.5</v>
      </c>
      <c r="I14" s="341"/>
      <c r="J14"/>
      <c r="K14"/>
      <c r="L14"/>
      <c r="M14"/>
      <c r="N14"/>
    </row>
    <row r="15" spans="1:18" s="149" customFormat="1">
      <c r="A15" s="233">
        <v>2</v>
      </c>
      <c r="B15" s="324" t="s">
        <v>164</v>
      </c>
      <c r="C15" s="325"/>
      <c r="D15" s="325"/>
      <c r="E15" s="326"/>
      <c r="F15" s="335" t="s">
        <v>13</v>
      </c>
      <c r="G15" s="336"/>
      <c r="H15" s="342">
        <f>0.15*0.3*2.1</f>
        <v>9.4500000000000001E-2</v>
      </c>
      <c r="I15" s="343"/>
      <c r="J15"/>
      <c r="K15"/>
      <c r="L15"/>
      <c r="M15"/>
      <c r="N15"/>
    </row>
    <row r="16" spans="1:18" s="8" customFormat="1">
      <c r="A16" s="233">
        <v>3</v>
      </c>
      <c r="B16" s="327" t="s">
        <v>34</v>
      </c>
      <c r="C16" s="328"/>
      <c r="D16" s="328"/>
      <c r="E16" s="329"/>
      <c r="F16" s="335" t="s">
        <v>13</v>
      </c>
      <c r="G16" s="336"/>
      <c r="H16" s="344">
        <v>1.2</v>
      </c>
      <c r="I16" s="345"/>
      <c r="J16"/>
      <c r="K16"/>
      <c r="L16"/>
      <c r="M16"/>
      <c r="N16"/>
    </row>
    <row r="17" spans="1:30" s="5" customFormat="1" ht="15" thickBot="1">
      <c r="A17" s="234">
        <v>4</v>
      </c>
      <c r="B17" s="330" t="s">
        <v>107</v>
      </c>
      <c r="C17" s="331"/>
      <c r="D17" s="331"/>
      <c r="E17" s="332"/>
      <c r="F17" s="337" t="s">
        <v>23</v>
      </c>
      <c r="G17" s="338"/>
      <c r="H17" s="346">
        <v>1</v>
      </c>
      <c r="I17" s="347"/>
      <c r="J17"/>
      <c r="K17"/>
      <c r="L17"/>
      <c r="M17"/>
      <c r="N17"/>
      <c r="O17" s="8"/>
      <c r="P17" s="8"/>
      <c r="Q17" s="150"/>
      <c r="R17" s="151"/>
      <c r="S17" s="152"/>
      <c r="T17" s="152"/>
      <c r="U17" s="153"/>
      <c r="V17" s="140"/>
      <c r="W17" s="154"/>
      <c r="X17" s="140"/>
      <c r="Y17" s="155"/>
      <c r="Z17" s="156"/>
      <c r="AA17" s="157"/>
    </row>
    <row r="18" spans="1:30" s="11" customFormat="1" ht="14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s="11" customFormat="1" ht="14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s="11" customFormat="1" ht="14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s="11" customFormat="1" ht="14.25">
      <c r="B21" s="53"/>
      <c r="O21" s="10"/>
      <c r="P21" s="21"/>
      <c r="Q21" s="22"/>
      <c r="R21" s="22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s="11" customFormat="1" ht="14.25">
      <c r="B22" s="55"/>
      <c r="O22" s="10"/>
      <c r="P22" s="21"/>
      <c r="Q22" s="22"/>
      <c r="R22" s="22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11" customFormat="1" ht="14.25">
      <c r="B23" s="55"/>
      <c r="O23" s="10"/>
      <c r="P23" s="21"/>
      <c r="Q23" s="22"/>
      <c r="R23" s="22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s="11" customFormat="1" ht="14.25">
      <c r="B24" s="102"/>
      <c r="O24" s="10"/>
      <c r="P24" s="21"/>
      <c r="Q24" s="22"/>
      <c r="R24" s="22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s="11" customFormat="1" ht="14.25">
      <c r="O25" s="10"/>
      <c r="P25" s="21"/>
      <c r="Q25" s="22"/>
      <c r="R25" s="2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>
      <c r="O26" s="14"/>
      <c r="P26" s="166"/>
      <c r="Q26" s="147"/>
      <c r="R26" s="14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>
      <c r="O27" s="14"/>
      <c r="P27" s="166"/>
      <c r="Q27" s="147"/>
      <c r="R27" s="147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>
      <c r="O28" s="14"/>
      <c r="P28" s="166"/>
      <c r="Q28" s="147"/>
      <c r="R28" s="14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>
      <c r="O29" s="14"/>
      <c r="P29" s="166"/>
      <c r="Q29" s="147"/>
      <c r="R29" s="147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>
      <c r="O30" s="14"/>
      <c r="P30" s="166"/>
      <c r="Q30" s="147"/>
      <c r="R30" s="14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>
      <c r="O31" s="14"/>
      <c r="P31" s="166"/>
      <c r="Q31" s="147"/>
      <c r="R31" s="147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0">
      <c r="O32" s="14"/>
      <c r="P32" s="166"/>
      <c r="Q32" s="147"/>
      <c r="R32" s="147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spans="15:30">
      <c r="O33" s="14"/>
      <c r="P33" s="166"/>
      <c r="Q33" s="147"/>
      <c r="R33" s="147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5:30">
      <c r="O34" s="14"/>
      <c r="P34" s="166"/>
      <c r="Q34" s="147"/>
      <c r="R34" s="147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5:30">
      <c r="O35" s="14"/>
      <c r="P35" s="166"/>
      <c r="Q35" s="147"/>
      <c r="R35" s="147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5:30">
      <c r="O36" s="14"/>
      <c r="P36" s="166"/>
      <c r="Q36" s="147"/>
      <c r="R36" s="147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5:30">
      <c r="O37" s="14"/>
      <c r="P37" s="166"/>
      <c r="Q37" s="147"/>
      <c r="R37" s="147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5:30">
      <c r="O38" s="14"/>
      <c r="P38" s="166"/>
      <c r="Q38" s="147"/>
      <c r="R38" s="147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5:30">
      <c r="O39" s="14"/>
      <c r="P39" s="166"/>
      <c r="Q39" s="147"/>
      <c r="R39" s="147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5:30">
      <c r="O40" s="14"/>
      <c r="P40" s="166"/>
      <c r="Q40" s="147"/>
      <c r="R40" s="147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5:30">
      <c r="O41" s="14"/>
      <c r="P41" s="166"/>
      <c r="Q41" s="147"/>
      <c r="R41" s="147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5:30">
      <c r="O42" s="14"/>
      <c r="P42" s="166"/>
      <c r="Q42" s="147"/>
      <c r="R42" s="14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5:30">
      <c r="O43" s="14"/>
      <c r="P43" s="166"/>
      <c r="Q43" s="147"/>
      <c r="R43" s="147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5:30">
      <c r="O44" s="14"/>
      <c r="P44" s="166"/>
      <c r="Q44" s="147"/>
      <c r="R44" s="147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5:30">
      <c r="O45" s="14"/>
      <c r="P45" s="166"/>
      <c r="Q45" s="147"/>
      <c r="R45" s="147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5:30">
      <c r="O46" s="14"/>
      <c r="P46" s="166"/>
      <c r="Q46" s="147"/>
      <c r="R46" s="147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5:30">
      <c r="O47" s="14"/>
      <c r="P47" s="166"/>
      <c r="Q47" s="147"/>
      <c r="R47" s="147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5:30">
      <c r="O48" s="14"/>
      <c r="P48" s="166"/>
      <c r="Q48" s="147"/>
      <c r="R48" s="147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5:30">
      <c r="O49" s="14"/>
      <c r="P49" s="166"/>
      <c r="Q49" s="147"/>
      <c r="R49" s="147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5:30">
      <c r="O50" s="14"/>
      <c r="P50" s="166"/>
      <c r="Q50" s="147"/>
      <c r="R50" s="147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5:30">
      <c r="O51" s="14"/>
      <c r="P51" s="166"/>
      <c r="Q51" s="147"/>
      <c r="R51" s="147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5:30">
      <c r="O52" s="14"/>
      <c r="P52" s="166"/>
      <c r="Q52" s="147"/>
      <c r="R52" s="147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5:30">
      <c r="O53" s="14"/>
      <c r="P53" s="166"/>
      <c r="Q53" s="147"/>
      <c r="R53" s="147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5:30">
      <c r="O54" s="14"/>
      <c r="P54" s="166"/>
      <c r="Q54" s="147"/>
      <c r="R54" s="147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5:30">
      <c r="O55" s="14"/>
      <c r="P55" s="166"/>
      <c r="Q55" s="147"/>
      <c r="R55" s="147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5:30">
      <c r="O56" s="14"/>
      <c r="P56" s="166"/>
      <c r="Q56" s="147"/>
      <c r="R56" s="147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5:30">
      <c r="O57" s="14"/>
      <c r="P57" s="166"/>
      <c r="Q57" s="147"/>
      <c r="R57" s="147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5:30">
      <c r="O58" s="14"/>
      <c r="P58" s="166"/>
      <c r="Q58" s="147"/>
      <c r="R58" s="147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5:30">
      <c r="O59" s="14"/>
      <c r="P59" s="166"/>
      <c r="Q59" s="147"/>
      <c r="R59" s="147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5:30">
      <c r="O60" s="14"/>
      <c r="P60" s="166"/>
      <c r="Q60" s="147"/>
      <c r="R60" s="147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5:30">
      <c r="O61" s="14"/>
      <c r="P61" s="166"/>
      <c r="Q61" s="147"/>
      <c r="R61" s="147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5:30">
      <c r="O62" s="14"/>
      <c r="P62" s="166"/>
      <c r="Q62" s="147"/>
      <c r="R62" s="147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5:30">
      <c r="O63" s="14"/>
      <c r="P63" s="166"/>
      <c r="Q63" s="147"/>
      <c r="R63" s="147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5:30">
      <c r="O64" s="14"/>
      <c r="P64" s="166"/>
      <c r="Q64" s="147"/>
      <c r="R64" s="147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5:30">
      <c r="O65" s="14"/>
      <c r="P65" s="166"/>
      <c r="Q65" s="147"/>
      <c r="R65" s="147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5:30">
      <c r="O66" s="14"/>
      <c r="P66" s="166"/>
      <c r="Q66" s="147"/>
      <c r="R66" s="147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5:30">
      <c r="O67" s="14"/>
      <c r="P67" s="166"/>
      <c r="Q67" s="147"/>
      <c r="R67" s="147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5:30">
      <c r="O68" s="14"/>
      <c r="P68" s="166"/>
      <c r="Q68" s="147"/>
      <c r="R68" s="147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5:30">
      <c r="O69" s="14"/>
      <c r="P69" s="166"/>
      <c r="Q69" s="147"/>
      <c r="R69" s="147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5:30">
      <c r="O70" s="14"/>
      <c r="P70" s="166"/>
      <c r="Q70" s="147"/>
      <c r="R70" s="147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5:30">
      <c r="O71" s="14"/>
      <c r="P71" s="166"/>
      <c r="Q71" s="147"/>
      <c r="R71" s="147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5:30">
      <c r="O72" s="14"/>
      <c r="P72" s="166"/>
      <c r="Q72" s="147"/>
      <c r="R72" s="147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5:30">
      <c r="O73" s="14"/>
      <c r="P73" s="166"/>
      <c r="Q73" s="147"/>
      <c r="R73" s="147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5:30">
      <c r="O74" s="14"/>
      <c r="P74" s="166"/>
      <c r="Q74" s="147"/>
      <c r="R74" s="147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5:30">
      <c r="O75" s="14"/>
      <c r="P75" s="166"/>
      <c r="Q75" s="147"/>
      <c r="R75" s="147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5:30">
      <c r="O76" s="14"/>
      <c r="P76" s="166"/>
      <c r="Q76" s="147"/>
      <c r="R76" s="147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5:30">
      <c r="O77" s="14"/>
      <c r="P77" s="166"/>
      <c r="Q77" s="147"/>
      <c r="R77" s="147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5:30">
      <c r="O78" s="14"/>
      <c r="P78" s="166"/>
      <c r="Q78" s="147"/>
      <c r="R78" s="147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5:30">
      <c r="O79" s="14"/>
      <c r="P79" s="166"/>
      <c r="Q79" s="147"/>
      <c r="R79" s="147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5:30">
      <c r="O80" s="14"/>
      <c r="P80" s="166"/>
      <c r="Q80" s="147"/>
      <c r="R80" s="147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5:30">
      <c r="O81" s="14"/>
      <c r="P81" s="166"/>
      <c r="Q81" s="147"/>
      <c r="R81" s="147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5:30">
      <c r="O82" s="14"/>
      <c r="P82" s="166"/>
      <c r="Q82" s="147"/>
      <c r="R82" s="147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5:30">
      <c r="O83" s="14"/>
      <c r="P83" s="166"/>
      <c r="Q83" s="147"/>
      <c r="R83" s="147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5:30">
      <c r="O84" s="14"/>
      <c r="P84" s="166"/>
      <c r="Q84" s="147"/>
      <c r="R84" s="147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5:30">
      <c r="O85" s="14"/>
      <c r="P85" s="166"/>
      <c r="Q85" s="147"/>
      <c r="R85" s="147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5:30">
      <c r="O86" s="14"/>
      <c r="P86" s="166"/>
      <c r="Q86" s="147"/>
      <c r="R86" s="147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5:30">
      <c r="O87" s="14"/>
      <c r="P87" s="166"/>
      <c r="Q87" s="147"/>
      <c r="R87" s="147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5:30">
      <c r="O88" s="14"/>
      <c r="P88" s="166"/>
      <c r="Q88" s="147"/>
      <c r="R88" s="147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5:30">
      <c r="O89" s="14"/>
      <c r="P89" s="166"/>
      <c r="Q89" s="147"/>
      <c r="R89" s="147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5:30">
      <c r="O90" s="14"/>
      <c r="P90" s="166"/>
      <c r="Q90" s="147"/>
      <c r="R90" s="147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5:30">
      <c r="O91" s="14"/>
      <c r="P91" s="166"/>
      <c r="Q91" s="147"/>
      <c r="R91" s="147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5:30">
      <c r="O92" s="14"/>
      <c r="P92" s="166"/>
      <c r="Q92" s="147"/>
      <c r="R92" s="147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5:30">
      <c r="O93" s="14"/>
      <c r="P93" s="166"/>
      <c r="Q93" s="147"/>
      <c r="R93" s="147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5:30">
      <c r="O94" s="14"/>
      <c r="P94" s="166"/>
      <c r="Q94" s="147"/>
      <c r="R94" s="147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5:30">
      <c r="O95" s="14"/>
      <c r="P95" s="166"/>
      <c r="Q95" s="147"/>
      <c r="R95" s="147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5:30">
      <c r="O96" s="14"/>
      <c r="P96" s="166"/>
      <c r="Q96" s="147"/>
      <c r="R96" s="147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5:30">
      <c r="O97" s="14"/>
      <c r="P97" s="166"/>
      <c r="Q97" s="147"/>
      <c r="R97" s="147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5:30">
      <c r="O98" s="14"/>
      <c r="P98" s="166"/>
      <c r="Q98" s="147"/>
      <c r="R98" s="147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5:30">
      <c r="O99" s="14"/>
      <c r="P99" s="166"/>
      <c r="Q99" s="147"/>
      <c r="R99" s="147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5:30">
      <c r="O100" s="14"/>
      <c r="P100" s="166"/>
      <c r="Q100" s="147"/>
      <c r="R100" s="147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5:30">
      <c r="O101" s="14"/>
      <c r="P101" s="166"/>
      <c r="Q101" s="147"/>
      <c r="R101" s="147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5:30">
      <c r="O102" s="14"/>
      <c r="P102" s="166"/>
      <c r="Q102" s="147"/>
      <c r="R102" s="147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5:30">
      <c r="O103" s="14"/>
      <c r="P103" s="166"/>
      <c r="Q103" s="147"/>
      <c r="R103" s="147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5:30">
      <c r="O104" s="14"/>
      <c r="P104" s="166"/>
      <c r="Q104" s="147"/>
      <c r="R104" s="147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5:30">
      <c r="O105" s="14"/>
      <c r="P105" s="166"/>
      <c r="Q105" s="147"/>
      <c r="R105" s="147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5:30">
      <c r="O106" s="14"/>
      <c r="P106" s="166"/>
      <c r="Q106" s="147"/>
      <c r="R106" s="147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5:30">
      <c r="O107" s="14"/>
      <c r="P107" s="166"/>
      <c r="Q107" s="147"/>
      <c r="R107" s="147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5:30">
      <c r="O108" s="14"/>
      <c r="P108" s="166"/>
      <c r="Q108" s="147"/>
      <c r="R108" s="147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5:30">
      <c r="O109" s="14"/>
      <c r="P109" s="166"/>
      <c r="Q109" s="147"/>
      <c r="R109" s="147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5:30">
      <c r="O110" s="14"/>
      <c r="P110" s="166"/>
      <c r="Q110" s="147"/>
      <c r="R110" s="147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5:30">
      <c r="O111" s="14"/>
      <c r="P111" s="166"/>
      <c r="Q111" s="147"/>
      <c r="R111" s="147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5:30">
      <c r="O112" s="14"/>
      <c r="P112" s="166"/>
      <c r="Q112" s="147"/>
      <c r="R112" s="147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5:30">
      <c r="O113" s="14"/>
      <c r="P113" s="166"/>
      <c r="Q113" s="147"/>
      <c r="R113" s="147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5:30">
      <c r="O114" s="14"/>
      <c r="P114" s="166"/>
      <c r="Q114" s="147"/>
      <c r="R114" s="147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5:30">
      <c r="O115" s="14"/>
      <c r="P115" s="166"/>
      <c r="Q115" s="147"/>
      <c r="R115" s="147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5:30">
      <c r="O116" s="14"/>
      <c r="P116" s="166"/>
      <c r="Q116" s="147"/>
      <c r="R116" s="147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5:30">
      <c r="O117" s="14"/>
      <c r="P117" s="166"/>
      <c r="Q117" s="147"/>
      <c r="R117" s="147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5:30">
      <c r="O118" s="14"/>
      <c r="P118" s="166"/>
      <c r="Q118" s="147"/>
      <c r="R118" s="147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5:30">
      <c r="O119" s="14"/>
      <c r="P119" s="166"/>
      <c r="Q119" s="147"/>
      <c r="R119" s="147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5:30">
      <c r="O120" s="14"/>
      <c r="P120" s="166"/>
      <c r="Q120" s="147"/>
      <c r="R120" s="147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5:30">
      <c r="O121" s="14"/>
      <c r="P121" s="166"/>
      <c r="Q121" s="147"/>
      <c r="R121" s="147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5:30">
      <c r="O122" s="14"/>
      <c r="P122" s="166"/>
      <c r="Q122" s="147"/>
      <c r="R122" s="147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5:30">
      <c r="O123" s="14"/>
      <c r="P123" s="166"/>
      <c r="Q123" s="147"/>
      <c r="R123" s="147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5:30">
      <c r="O124" s="14"/>
      <c r="P124" s="166"/>
      <c r="Q124" s="147"/>
      <c r="R124" s="147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5:30">
      <c r="O125" s="14"/>
      <c r="P125" s="166"/>
      <c r="Q125" s="147"/>
      <c r="R125" s="147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5:30">
      <c r="O126" s="14"/>
      <c r="P126" s="166"/>
      <c r="Q126" s="147"/>
      <c r="R126" s="147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5:30">
      <c r="O127" s="14"/>
      <c r="P127" s="166"/>
      <c r="Q127" s="147"/>
      <c r="R127" s="147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5:30">
      <c r="O128" s="14"/>
      <c r="P128" s="166"/>
      <c r="Q128" s="147"/>
      <c r="R128" s="147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5:30">
      <c r="O129" s="14"/>
      <c r="P129" s="166"/>
      <c r="Q129" s="147"/>
      <c r="R129" s="147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5:30">
      <c r="O130" s="14"/>
      <c r="P130" s="166"/>
      <c r="Q130" s="147"/>
      <c r="R130" s="147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5:30">
      <c r="O131" s="14"/>
      <c r="P131" s="166"/>
      <c r="Q131" s="147"/>
      <c r="R131" s="147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5:30">
      <c r="O132" s="14"/>
      <c r="P132" s="166"/>
      <c r="Q132" s="147"/>
      <c r="R132" s="147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5:30">
      <c r="O133" s="14"/>
      <c r="P133" s="166"/>
      <c r="Q133" s="147"/>
      <c r="R133" s="147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5:30">
      <c r="O134" s="14"/>
      <c r="P134" s="166"/>
      <c r="Q134" s="147"/>
      <c r="R134" s="147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5:30">
      <c r="O135" s="14"/>
      <c r="P135" s="166"/>
      <c r="Q135" s="147"/>
      <c r="R135" s="147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5:30">
      <c r="O136" s="14"/>
      <c r="P136" s="166"/>
      <c r="Q136" s="147"/>
      <c r="R136" s="147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5:30">
      <c r="O137" s="14"/>
      <c r="P137" s="166"/>
      <c r="Q137" s="147"/>
      <c r="R137" s="147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5:30">
      <c r="O138" s="14"/>
      <c r="P138" s="166"/>
      <c r="Q138" s="147"/>
      <c r="R138" s="147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5:30">
      <c r="O139" s="14"/>
      <c r="P139" s="166"/>
      <c r="Q139" s="147"/>
      <c r="R139" s="147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5:30">
      <c r="O140" s="14"/>
      <c r="P140" s="166"/>
      <c r="Q140" s="147"/>
      <c r="R140" s="147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5:30">
      <c r="O141" s="14"/>
      <c r="P141" s="166"/>
      <c r="Q141" s="147"/>
      <c r="R141" s="147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5:30">
      <c r="O142" s="14"/>
      <c r="P142" s="166"/>
      <c r="Q142" s="147"/>
      <c r="R142" s="147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5:30">
      <c r="O143" s="14"/>
      <c r="P143" s="166"/>
      <c r="Q143" s="147"/>
      <c r="R143" s="147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5:30">
      <c r="O144" s="14"/>
      <c r="P144" s="166"/>
      <c r="Q144" s="147"/>
      <c r="R144" s="147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5:30">
      <c r="O145" s="14"/>
      <c r="P145" s="166"/>
      <c r="Q145" s="147"/>
      <c r="R145" s="147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5:30">
      <c r="O146" s="14"/>
      <c r="P146" s="166"/>
      <c r="Q146" s="147"/>
      <c r="R146" s="147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5:30">
      <c r="O147" s="14"/>
      <c r="P147" s="166"/>
      <c r="Q147" s="147"/>
      <c r="R147" s="147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5:30">
      <c r="O148" s="14"/>
      <c r="P148" s="166"/>
      <c r="Q148" s="147"/>
      <c r="R148" s="147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5:30">
      <c r="O149" s="14"/>
      <c r="P149" s="166"/>
      <c r="Q149" s="147"/>
      <c r="R149" s="147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5:30">
      <c r="O150" s="14"/>
      <c r="P150" s="166"/>
      <c r="Q150" s="147"/>
      <c r="R150" s="147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5:30">
      <c r="O151" s="14"/>
      <c r="P151" s="166"/>
      <c r="Q151" s="147"/>
      <c r="R151" s="147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5:30">
      <c r="O152" s="14"/>
      <c r="P152" s="166"/>
      <c r="Q152" s="147"/>
      <c r="R152" s="147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</sheetData>
  <autoFilter ref="B1:B157"/>
  <mergeCells count="21">
    <mergeCell ref="H13:I13"/>
    <mergeCell ref="H14:I14"/>
    <mergeCell ref="H15:I15"/>
    <mergeCell ref="H16:I16"/>
    <mergeCell ref="H17:I17"/>
    <mergeCell ref="F13:G13"/>
    <mergeCell ref="F14:G14"/>
    <mergeCell ref="F15:G15"/>
    <mergeCell ref="F16:G16"/>
    <mergeCell ref="F17:G17"/>
    <mergeCell ref="B13:E13"/>
    <mergeCell ref="B14:E14"/>
    <mergeCell ref="B15:E15"/>
    <mergeCell ref="B16:E16"/>
    <mergeCell ref="B17:E17"/>
    <mergeCell ref="A2:I2"/>
    <mergeCell ref="A1:I1"/>
    <mergeCell ref="B8:E12"/>
    <mergeCell ref="F8:G12"/>
    <mergeCell ref="H8:I12"/>
    <mergeCell ref="A8:A12"/>
  </mergeCells>
  <printOptions horizontalCentered="1"/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60"/>
  <sheetViews>
    <sheetView zoomScaleNormal="100" workbookViewId="0">
      <selection activeCell="B27" sqref="B27"/>
    </sheetView>
  </sheetViews>
  <sheetFormatPr defaultColWidth="9.140625" defaultRowHeight="12.75"/>
  <cols>
    <col min="1" max="1" width="6.5703125" style="4" customWidth="1"/>
    <col min="2" max="2" width="37.42578125" style="4" customWidth="1"/>
    <col min="3" max="3" width="6.7109375" style="4" customWidth="1"/>
    <col min="4" max="4" width="7.140625" style="4" customWidth="1"/>
    <col min="5" max="10" width="8.140625" style="4" customWidth="1"/>
    <col min="11" max="14" width="9.140625" style="4" customWidth="1"/>
    <col min="15" max="15" width="10.140625" style="4" customWidth="1"/>
    <col min="16" max="16" width="11.7109375" style="4" bestFit="1" customWidth="1"/>
    <col min="17" max="17" width="11.7109375" style="164" bestFit="1" customWidth="1"/>
    <col min="18" max="18" width="10" style="165" bestFit="1" customWidth="1"/>
    <col min="19" max="19" width="11.7109375" style="165" bestFit="1" customWidth="1"/>
    <col min="20" max="16384" width="9.140625" style="4"/>
  </cols>
  <sheetData>
    <row r="1" spans="1:23" s="11" customFormat="1" ht="14.25">
      <c r="A1" s="305" t="s">
        <v>87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23" s="11" customFormat="1" ht="14.25">
      <c r="A2" s="304" t="str">
        <f>Kopsavilkums!C14</f>
        <v>Zemes darbi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23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Q3" s="12"/>
      <c r="R3" s="13"/>
      <c r="S3" s="13"/>
    </row>
    <row r="4" spans="1:23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Q4" s="12"/>
      <c r="R4" s="13"/>
      <c r="S4" s="13"/>
    </row>
    <row r="5" spans="1:23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Q5" s="12"/>
      <c r="R5" s="13"/>
      <c r="S5" s="13"/>
    </row>
    <row r="6" spans="1:23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Q6" s="12"/>
      <c r="R6" s="13"/>
      <c r="S6" s="13"/>
    </row>
    <row r="7" spans="1:23" customFormat="1" ht="13.5" thickBot="1"/>
    <row r="8" spans="1:23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10</v>
      </c>
      <c r="I8" s="283"/>
      <c r="J8"/>
      <c r="K8"/>
      <c r="L8"/>
      <c r="M8"/>
      <c r="N8"/>
      <c r="O8"/>
      <c r="Q8" s="166"/>
      <c r="R8" s="147"/>
      <c r="S8" s="147"/>
    </row>
    <row r="9" spans="1:23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Q9" s="166"/>
      <c r="R9" s="147"/>
      <c r="S9" s="147"/>
    </row>
    <row r="10" spans="1:23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Q10" s="166"/>
      <c r="R10" s="147"/>
      <c r="S10" s="147"/>
    </row>
    <row r="11" spans="1:23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Q11" s="166"/>
      <c r="R11" s="147"/>
      <c r="S11" s="147"/>
    </row>
    <row r="12" spans="1:23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Q12" s="166"/>
      <c r="R12" s="147"/>
      <c r="S12" s="147"/>
    </row>
    <row r="13" spans="1:23" s="14" customFormat="1" ht="14.25" thickTop="1" thickBot="1">
      <c r="A13" s="37">
        <v>1</v>
      </c>
      <c r="B13" s="348">
        <v>2</v>
      </c>
      <c r="C13" s="348"/>
      <c r="D13" s="348"/>
      <c r="E13" s="348"/>
      <c r="F13" s="348">
        <v>3</v>
      </c>
      <c r="G13" s="348"/>
      <c r="H13" s="348">
        <v>4</v>
      </c>
      <c r="I13" s="349"/>
      <c r="J13"/>
      <c r="K13"/>
      <c r="L13"/>
      <c r="M13"/>
      <c r="N13"/>
      <c r="O13"/>
      <c r="Q13" s="166"/>
      <c r="R13" s="147"/>
      <c r="S13" s="147"/>
    </row>
    <row r="14" spans="1:23" s="10" customFormat="1" ht="15" thickTop="1">
      <c r="A14" s="237"/>
      <c r="B14" s="358" t="s">
        <v>108</v>
      </c>
      <c r="C14" s="358"/>
      <c r="D14" s="358"/>
      <c r="E14" s="358"/>
      <c r="F14" s="294"/>
      <c r="G14" s="294"/>
      <c r="H14" s="350"/>
      <c r="I14" s="351"/>
      <c r="J14"/>
      <c r="K14"/>
      <c r="L14"/>
      <c r="M14"/>
      <c r="N14"/>
      <c r="O14"/>
      <c r="P14" s="4"/>
      <c r="Q14" s="4"/>
    </row>
    <row r="15" spans="1:23" s="10" customFormat="1" ht="14.25">
      <c r="A15" s="233">
        <v>1</v>
      </c>
      <c r="B15" s="359" t="s">
        <v>165</v>
      </c>
      <c r="C15" s="359"/>
      <c r="D15" s="359"/>
      <c r="E15" s="359"/>
      <c r="F15" s="356" t="s">
        <v>13</v>
      </c>
      <c r="G15" s="356"/>
      <c r="H15" s="352">
        <v>2.36</v>
      </c>
      <c r="I15" s="353"/>
      <c r="J15"/>
      <c r="K15"/>
      <c r="L15"/>
      <c r="M15"/>
      <c r="N15"/>
      <c r="O15"/>
      <c r="Q15" s="21"/>
      <c r="R15" s="22"/>
      <c r="S15" s="22"/>
    </row>
    <row r="16" spans="1:23" s="10" customFormat="1" ht="14.25">
      <c r="A16" s="233">
        <v>2</v>
      </c>
      <c r="B16" s="302" t="s">
        <v>166</v>
      </c>
      <c r="C16" s="302"/>
      <c r="D16" s="302"/>
      <c r="E16" s="302"/>
      <c r="F16" s="295" t="s">
        <v>13</v>
      </c>
      <c r="G16" s="295"/>
      <c r="H16" s="354">
        <v>0.27</v>
      </c>
      <c r="I16" s="355"/>
      <c r="J16"/>
      <c r="K16"/>
      <c r="L16"/>
      <c r="M16"/>
      <c r="N16"/>
      <c r="O16"/>
      <c r="Q16" s="146"/>
      <c r="W16" s="20">
        <v>2.4900000000000002</v>
      </c>
    </row>
    <row r="17" spans="1:31" s="10" customFormat="1" ht="14.25">
      <c r="A17" s="236"/>
      <c r="B17" s="357" t="s">
        <v>95</v>
      </c>
      <c r="C17" s="357"/>
      <c r="D17" s="357"/>
      <c r="E17" s="357"/>
      <c r="F17" s="295" t="s">
        <v>13</v>
      </c>
      <c r="G17" s="295"/>
      <c r="H17" s="354">
        <f>ROUND(H16*0.97,2)</f>
        <v>0.26</v>
      </c>
      <c r="I17" s="355"/>
      <c r="J17"/>
      <c r="K17"/>
      <c r="L17"/>
      <c r="M17"/>
      <c r="N17"/>
      <c r="O17"/>
      <c r="W17" s="2"/>
    </row>
    <row r="18" spans="1:31" s="10" customFormat="1" ht="14.25">
      <c r="A18" s="236"/>
      <c r="B18" s="357" t="s">
        <v>96</v>
      </c>
      <c r="C18" s="357"/>
      <c r="D18" s="357"/>
      <c r="E18" s="357"/>
      <c r="F18" s="295" t="s">
        <v>13</v>
      </c>
      <c r="G18" s="295"/>
      <c r="H18" s="354">
        <f>ROUND(H16*0.18,2)</f>
        <v>0.05</v>
      </c>
      <c r="I18" s="355"/>
      <c r="J18"/>
      <c r="K18"/>
      <c r="L18"/>
      <c r="M18"/>
      <c r="N18"/>
      <c r="O18"/>
      <c r="W18" s="2"/>
    </row>
    <row r="19" spans="1:31" s="10" customFormat="1" ht="14.25">
      <c r="A19" s="236"/>
      <c r="B19" s="360" t="s">
        <v>94</v>
      </c>
      <c r="C19" s="360"/>
      <c r="D19" s="360"/>
      <c r="E19" s="360"/>
      <c r="F19" s="295" t="s">
        <v>13</v>
      </c>
      <c r="G19" s="295"/>
      <c r="H19" s="354">
        <f>ROUND(H16*0.09,2)</f>
        <v>0.02</v>
      </c>
      <c r="I19" s="355"/>
      <c r="J19"/>
      <c r="K19"/>
      <c r="L19"/>
      <c r="M19"/>
      <c r="N19"/>
      <c r="O19"/>
      <c r="W19" s="2"/>
    </row>
    <row r="20" spans="1:31" s="10" customFormat="1" ht="14.25">
      <c r="A20" s="233">
        <v>3</v>
      </c>
      <c r="B20" s="302" t="s">
        <v>152</v>
      </c>
      <c r="C20" s="302"/>
      <c r="D20" s="302"/>
      <c r="E20" s="302"/>
      <c r="F20" s="295" t="s">
        <v>13</v>
      </c>
      <c r="G20" s="295"/>
      <c r="H20" s="354">
        <f>5.82*1.68*0.1</f>
        <v>0.97775999999999996</v>
      </c>
      <c r="I20" s="355"/>
      <c r="J20"/>
      <c r="K20"/>
      <c r="L20"/>
      <c r="M20"/>
      <c r="N20"/>
      <c r="O20"/>
      <c r="Q20" s="146"/>
      <c r="W20" s="20">
        <v>2.4900000000000002</v>
      </c>
    </row>
    <row r="21" spans="1:31" s="10" customFormat="1" ht="14.25">
      <c r="A21" s="236"/>
      <c r="B21" s="357" t="s">
        <v>95</v>
      </c>
      <c r="C21" s="357"/>
      <c r="D21" s="357"/>
      <c r="E21" s="357"/>
      <c r="F21" s="295" t="s">
        <v>13</v>
      </c>
      <c r="G21" s="295"/>
      <c r="H21" s="354">
        <f>ROUND(H20*0.97,2)</f>
        <v>0.95</v>
      </c>
      <c r="I21" s="355"/>
      <c r="J21"/>
      <c r="K21"/>
      <c r="L21"/>
      <c r="M21"/>
      <c r="N21"/>
      <c r="O21"/>
      <c r="W21" s="2"/>
    </row>
    <row r="22" spans="1:31" s="10" customFormat="1" ht="14.25">
      <c r="A22" s="236"/>
      <c r="B22" s="357" t="s">
        <v>96</v>
      </c>
      <c r="C22" s="357"/>
      <c r="D22" s="357"/>
      <c r="E22" s="357"/>
      <c r="F22" s="295" t="s">
        <v>13</v>
      </c>
      <c r="G22" s="295"/>
      <c r="H22" s="354">
        <f>ROUND(H20*0.18,2)</f>
        <v>0.18</v>
      </c>
      <c r="I22" s="355"/>
      <c r="J22"/>
      <c r="K22"/>
      <c r="L22"/>
      <c r="M22"/>
      <c r="N22"/>
      <c r="O22"/>
      <c r="W22" s="2"/>
    </row>
    <row r="23" spans="1:31" s="10" customFormat="1" ht="14.25">
      <c r="A23" s="236"/>
      <c r="B23" s="360" t="s">
        <v>94</v>
      </c>
      <c r="C23" s="360"/>
      <c r="D23" s="360"/>
      <c r="E23" s="360"/>
      <c r="F23" s="295" t="s">
        <v>13</v>
      </c>
      <c r="G23" s="295"/>
      <c r="H23" s="354">
        <f>ROUND(H20*0.09,2)</f>
        <v>0.09</v>
      </c>
      <c r="I23" s="355"/>
      <c r="J23"/>
      <c r="K23"/>
      <c r="L23"/>
      <c r="M23"/>
      <c r="N23"/>
      <c r="O23"/>
      <c r="W23" s="2"/>
    </row>
    <row r="24" spans="1:31" s="10" customFormat="1" ht="14.25">
      <c r="A24" s="233">
        <v>4</v>
      </c>
      <c r="B24" s="359" t="s">
        <v>167</v>
      </c>
      <c r="C24" s="359"/>
      <c r="D24" s="359"/>
      <c r="E24" s="359"/>
      <c r="F24" s="356" t="s">
        <v>13</v>
      </c>
      <c r="G24" s="356"/>
      <c r="H24" s="352">
        <v>1.66</v>
      </c>
      <c r="I24" s="353"/>
      <c r="J24"/>
      <c r="K24"/>
      <c r="L24"/>
      <c r="M24"/>
      <c r="N24"/>
      <c r="O24"/>
      <c r="Q24" s="21"/>
      <c r="R24" s="22"/>
      <c r="S24" s="22"/>
    </row>
    <row r="25" spans="1:31" s="10" customFormat="1" ht="15" thickBot="1">
      <c r="A25" s="234">
        <v>5</v>
      </c>
      <c r="B25" s="297" t="s">
        <v>153</v>
      </c>
      <c r="C25" s="297"/>
      <c r="D25" s="297"/>
      <c r="E25" s="297"/>
      <c r="F25" s="296" t="s">
        <v>23</v>
      </c>
      <c r="G25" s="296"/>
      <c r="H25" s="292">
        <v>1</v>
      </c>
      <c r="I25" s="293"/>
      <c r="J25"/>
      <c r="K25"/>
      <c r="L25"/>
      <c r="M25"/>
      <c r="N25"/>
      <c r="O25"/>
    </row>
    <row r="26" spans="1:31" s="11" customFormat="1" ht="14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11" customFormat="1" ht="14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s="11" customFormat="1" ht="14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11" customFormat="1" ht="14.25">
      <c r="B29" s="53"/>
      <c r="P29" s="10"/>
      <c r="Q29" s="21"/>
      <c r="R29" s="22"/>
      <c r="S29" s="22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1" customFormat="1" ht="14.25">
      <c r="B30" s="55"/>
      <c r="P30" s="10"/>
      <c r="Q30" s="21"/>
      <c r="R30" s="22"/>
      <c r="S30" s="22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11" customFormat="1" ht="14.25">
      <c r="B31" s="55"/>
      <c r="P31" s="10"/>
      <c r="Q31" s="21"/>
      <c r="R31" s="22"/>
      <c r="S31" s="22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11" customFormat="1" ht="14.25">
      <c r="B32" s="102"/>
      <c r="P32" s="10"/>
      <c r="Q32" s="21"/>
      <c r="R32" s="22"/>
      <c r="S32" s="22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6:31" s="11" customFormat="1" ht="14.25">
      <c r="P33" s="10"/>
      <c r="Q33" s="21"/>
      <c r="R33" s="22"/>
      <c r="S33" s="22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6:31">
      <c r="P34" s="14"/>
      <c r="Q34" s="166"/>
      <c r="R34" s="147"/>
      <c r="S34" s="147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6:31">
      <c r="P35" s="14"/>
      <c r="Q35" s="166"/>
      <c r="R35" s="147"/>
      <c r="S35" s="147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6:31">
      <c r="P36" s="14"/>
      <c r="Q36" s="166"/>
      <c r="R36" s="147"/>
      <c r="S36" s="147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6:31">
      <c r="P37" s="14"/>
      <c r="Q37" s="166"/>
      <c r="R37" s="147"/>
      <c r="S37" s="147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6:31">
      <c r="P38" s="14"/>
      <c r="Q38" s="166"/>
      <c r="R38" s="147"/>
      <c r="S38" s="147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6:31">
      <c r="P39" s="14"/>
      <c r="Q39" s="166"/>
      <c r="R39" s="147"/>
      <c r="S39" s="147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6:31">
      <c r="P40" s="14"/>
      <c r="Q40" s="166"/>
      <c r="R40" s="147"/>
      <c r="S40" s="147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6:31">
      <c r="P41" s="14"/>
      <c r="Q41" s="166"/>
      <c r="R41" s="147"/>
      <c r="S41" s="147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6:31">
      <c r="P42" s="14"/>
      <c r="Q42" s="166"/>
      <c r="R42" s="147"/>
      <c r="S42" s="147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6:31">
      <c r="P43" s="14"/>
      <c r="Q43" s="166"/>
      <c r="R43" s="147"/>
      <c r="S43" s="147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6:31">
      <c r="P44" s="14"/>
      <c r="Q44" s="166"/>
      <c r="R44" s="147"/>
      <c r="S44" s="147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6:31">
      <c r="P45" s="14"/>
      <c r="Q45" s="166"/>
      <c r="R45" s="147"/>
      <c r="S45" s="147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6:31">
      <c r="P46" s="14"/>
      <c r="Q46" s="166"/>
      <c r="R46" s="147"/>
      <c r="S46" s="147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6:31">
      <c r="P47" s="14"/>
      <c r="Q47" s="166"/>
      <c r="R47" s="147"/>
      <c r="S47" s="147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6:31">
      <c r="P48" s="14"/>
      <c r="Q48" s="166"/>
      <c r="R48" s="147"/>
      <c r="S48" s="14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6:31">
      <c r="P49" s="14"/>
      <c r="Q49" s="166"/>
      <c r="R49" s="147"/>
      <c r="S49" s="147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6:31">
      <c r="P50" s="14"/>
      <c r="Q50" s="166"/>
      <c r="R50" s="147"/>
      <c r="S50" s="14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6:31">
      <c r="P51" s="14"/>
      <c r="Q51" s="166"/>
      <c r="R51" s="147"/>
      <c r="S51" s="147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6:31">
      <c r="P52" s="14"/>
      <c r="Q52" s="166"/>
      <c r="R52" s="147"/>
      <c r="S52" s="147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6:31">
      <c r="P53" s="14"/>
      <c r="Q53" s="166"/>
      <c r="R53" s="147"/>
      <c r="S53" s="147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6:31">
      <c r="P54" s="14"/>
      <c r="Q54" s="166"/>
      <c r="R54" s="147"/>
      <c r="S54" s="147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6:31">
      <c r="P55" s="14"/>
      <c r="Q55" s="166"/>
      <c r="R55" s="147"/>
      <c r="S55" s="147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6:31">
      <c r="P56" s="14"/>
      <c r="Q56" s="166"/>
      <c r="R56" s="147"/>
      <c r="S56" s="147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6:31">
      <c r="P57" s="14"/>
      <c r="Q57" s="166"/>
      <c r="R57" s="147"/>
      <c r="S57" s="147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6:31">
      <c r="P58" s="14"/>
      <c r="Q58" s="166"/>
      <c r="R58" s="147"/>
      <c r="S58" s="147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6:31">
      <c r="P59" s="14"/>
      <c r="Q59" s="166"/>
      <c r="R59" s="147"/>
      <c r="S59" s="147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6:31">
      <c r="P60" s="14"/>
      <c r="Q60" s="166"/>
      <c r="R60" s="147"/>
      <c r="S60" s="147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6:31">
      <c r="P61" s="14"/>
      <c r="Q61" s="166"/>
      <c r="R61" s="147"/>
      <c r="S61" s="147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6:31">
      <c r="P62" s="14"/>
      <c r="Q62" s="166"/>
      <c r="R62" s="147"/>
      <c r="S62" s="147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6:31">
      <c r="P63" s="14"/>
      <c r="Q63" s="166"/>
      <c r="R63" s="147"/>
      <c r="S63" s="147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6:31">
      <c r="P64" s="14"/>
      <c r="Q64" s="166"/>
      <c r="R64" s="147"/>
      <c r="S64" s="147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6:31">
      <c r="P65" s="14"/>
      <c r="Q65" s="166"/>
      <c r="R65" s="147"/>
      <c r="S65" s="147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6:31">
      <c r="P66" s="14"/>
      <c r="Q66" s="166"/>
      <c r="R66" s="147"/>
      <c r="S66" s="147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6:31">
      <c r="P67" s="14"/>
      <c r="Q67" s="166"/>
      <c r="R67" s="147"/>
      <c r="S67" s="147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6:31">
      <c r="P68" s="14"/>
      <c r="Q68" s="166"/>
      <c r="R68" s="147"/>
      <c r="S68" s="147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6:31">
      <c r="P69" s="14"/>
      <c r="Q69" s="166"/>
      <c r="R69" s="147"/>
      <c r="S69" s="147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6:31">
      <c r="P70" s="14"/>
      <c r="Q70" s="166"/>
      <c r="R70" s="147"/>
      <c r="S70" s="147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6:31">
      <c r="P71" s="14"/>
      <c r="Q71" s="166"/>
      <c r="R71" s="147"/>
      <c r="S71" s="147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6:31">
      <c r="P72" s="14"/>
      <c r="Q72" s="166"/>
      <c r="R72" s="147"/>
      <c r="S72" s="147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6:31">
      <c r="P73" s="14"/>
      <c r="Q73" s="166"/>
      <c r="R73" s="147"/>
      <c r="S73" s="147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6:31">
      <c r="P74" s="14"/>
      <c r="Q74" s="166"/>
      <c r="R74" s="147"/>
      <c r="S74" s="147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6:31">
      <c r="P75" s="14"/>
      <c r="Q75" s="166"/>
      <c r="R75" s="147"/>
      <c r="S75" s="147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6:31">
      <c r="P76" s="14"/>
      <c r="Q76" s="166"/>
      <c r="R76" s="147"/>
      <c r="S76" s="147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6:31">
      <c r="P77" s="14"/>
      <c r="Q77" s="166"/>
      <c r="R77" s="147"/>
      <c r="S77" s="147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6:31">
      <c r="P78" s="14"/>
      <c r="Q78" s="166"/>
      <c r="R78" s="147"/>
      <c r="S78" s="147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6:31">
      <c r="P79" s="14"/>
      <c r="Q79" s="166"/>
      <c r="R79" s="147"/>
      <c r="S79" s="147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6:31">
      <c r="P80" s="14"/>
      <c r="Q80" s="166"/>
      <c r="R80" s="147"/>
      <c r="S80" s="147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66"/>
      <c r="R81" s="147"/>
      <c r="S81" s="147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66"/>
      <c r="R82" s="147"/>
      <c r="S82" s="147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66"/>
      <c r="R83" s="147"/>
      <c r="S83" s="147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66"/>
      <c r="R84" s="147"/>
      <c r="S84" s="147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66"/>
      <c r="R85" s="147"/>
      <c r="S85" s="147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66"/>
      <c r="R86" s="147"/>
      <c r="S86" s="147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66"/>
      <c r="R87" s="147"/>
      <c r="S87" s="147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66"/>
      <c r="R88" s="147"/>
      <c r="S88" s="147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66"/>
      <c r="R89" s="147"/>
      <c r="S89" s="147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66"/>
      <c r="R90" s="147"/>
      <c r="S90" s="147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66"/>
      <c r="R91" s="147"/>
      <c r="S91" s="147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66"/>
      <c r="R92" s="147"/>
      <c r="S92" s="147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66"/>
      <c r="R93" s="147"/>
      <c r="S93" s="147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66"/>
      <c r="R94" s="147"/>
      <c r="S94" s="147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66"/>
      <c r="R95" s="147"/>
      <c r="S95" s="147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66"/>
      <c r="R96" s="147"/>
      <c r="S96" s="147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66"/>
      <c r="R97" s="147"/>
      <c r="S97" s="147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66"/>
      <c r="R98" s="147"/>
      <c r="S98" s="147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66"/>
      <c r="R99" s="147"/>
      <c r="S99" s="147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66"/>
      <c r="R100" s="147"/>
      <c r="S100" s="147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66"/>
      <c r="R101" s="147"/>
      <c r="S101" s="147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66"/>
      <c r="R102" s="147"/>
      <c r="S102" s="147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66"/>
      <c r="R103" s="147"/>
      <c r="S103" s="147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66"/>
      <c r="R104" s="147"/>
      <c r="S104" s="147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66"/>
      <c r="R105" s="147"/>
      <c r="S105" s="147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66"/>
      <c r="R106" s="147"/>
      <c r="S106" s="147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66"/>
      <c r="R107" s="147"/>
      <c r="S107" s="147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66"/>
      <c r="R108" s="147"/>
      <c r="S108" s="147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66"/>
      <c r="R109" s="147"/>
      <c r="S109" s="147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66"/>
      <c r="R110" s="147"/>
      <c r="S110" s="147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66"/>
      <c r="R111" s="147"/>
      <c r="S111" s="147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66"/>
      <c r="R112" s="147"/>
      <c r="S112" s="147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66"/>
      <c r="R113" s="147"/>
      <c r="S113" s="147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66"/>
      <c r="R114" s="147"/>
      <c r="S114" s="147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66"/>
      <c r="R115" s="147"/>
      <c r="S115" s="147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66"/>
      <c r="R116" s="147"/>
      <c r="S116" s="147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66"/>
      <c r="R117" s="147"/>
      <c r="S117" s="147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66"/>
      <c r="R118" s="147"/>
      <c r="S118" s="147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66"/>
      <c r="R119" s="147"/>
      <c r="S119" s="147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66"/>
      <c r="R120" s="147"/>
      <c r="S120" s="147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66"/>
      <c r="R121" s="147"/>
      <c r="S121" s="147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66"/>
      <c r="R122" s="147"/>
      <c r="S122" s="147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66"/>
      <c r="R123" s="147"/>
      <c r="S123" s="147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66"/>
      <c r="R124" s="147"/>
      <c r="S124" s="147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66"/>
      <c r="R125" s="147"/>
      <c r="S125" s="147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66"/>
      <c r="R126" s="147"/>
      <c r="S126" s="147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66"/>
      <c r="R127" s="147"/>
      <c r="S127" s="147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66"/>
      <c r="R128" s="147"/>
      <c r="S128" s="147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66"/>
      <c r="R129" s="147"/>
      <c r="S129" s="147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66"/>
      <c r="R130" s="147"/>
      <c r="S130" s="147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66"/>
      <c r="R131" s="147"/>
      <c r="S131" s="147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66"/>
      <c r="R132" s="147"/>
      <c r="S132" s="147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66"/>
      <c r="R133" s="147"/>
      <c r="S133" s="147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66"/>
      <c r="R134" s="147"/>
      <c r="S134" s="147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66"/>
      <c r="R135" s="147"/>
      <c r="S135" s="147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66"/>
      <c r="R136" s="147"/>
      <c r="S136" s="147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66"/>
      <c r="R137" s="147"/>
      <c r="S137" s="147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66"/>
      <c r="R138" s="147"/>
      <c r="S138" s="147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66"/>
      <c r="R139" s="147"/>
      <c r="S139" s="147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66"/>
      <c r="R140" s="147"/>
      <c r="S140" s="147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66"/>
      <c r="R141" s="147"/>
      <c r="S141" s="147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66"/>
      <c r="R142" s="147"/>
      <c r="S142" s="147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66"/>
      <c r="R143" s="147"/>
      <c r="S143" s="147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66"/>
      <c r="R144" s="147"/>
      <c r="S144" s="147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66"/>
      <c r="R145" s="147"/>
      <c r="S145" s="147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66"/>
      <c r="R146" s="147"/>
      <c r="S146" s="147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66"/>
      <c r="R147" s="147"/>
      <c r="S147" s="147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66"/>
      <c r="R148" s="147"/>
      <c r="S148" s="147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66"/>
      <c r="R149" s="147"/>
      <c r="S149" s="147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66"/>
      <c r="R150" s="147"/>
      <c r="S150" s="147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66"/>
      <c r="R151" s="147"/>
      <c r="S151" s="147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66"/>
      <c r="R152" s="147"/>
      <c r="S152" s="147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66"/>
      <c r="R153" s="147"/>
      <c r="S153" s="147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66"/>
      <c r="R154" s="147"/>
      <c r="S154" s="147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66"/>
      <c r="R155" s="147"/>
      <c r="S155" s="147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66"/>
      <c r="R156" s="147"/>
      <c r="S156" s="147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66"/>
      <c r="R157" s="147"/>
      <c r="S157" s="147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66"/>
      <c r="R158" s="147"/>
      <c r="S158" s="147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66"/>
      <c r="R159" s="147"/>
      <c r="S159" s="147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66"/>
      <c r="R160" s="147"/>
      <c r="S160" s="147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</sheetData>
  <mergeCells count="45">
    <mergeCell ref="B25:E25"/>
    <mergeCell ref="B22:E22"/>
    <mergeCell ref="B23:E23"/>
    <mergeCell ref="B24:E24"/>
    <mergeCell ref="B19:E19"/>
    <mergeCell ref="B20:E20"/>
    <mergeCell ref="B21:E21"/>
    <mergeCell ref="B16:E16"/>
    <mergeCell ref="B17:E17"/>
    <mergeCell ref="B18:E18"/>
    <mergeCell ref="B13:E13"/>
    <mergeCell ref="B14:E14"/>
    <mergeCell ref="B15:E15"/>
    <mergeCell ref="H23:I23"/>
    <mergeCell ref="H24:I24"/>
    <mergeCell ref="H25:I25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A2:I2"/>
    <mergeCell ref="A1:I1"/>
    <mergeCell ref="F8:G12"/>
    <mergeCell ref="H8:I12"/>
    <mergeCell ref="B8:E12"/>
    <mergeCell ref="A8:A12"/>
  </mergeCells>
  <printOptions horizontalCentered="1"/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44"/>
  <sheetViews>
    <sheetView topLeftCell="A28" zoomScale="110" zoomScaleNormal="110" workbookViewId="0">
      <selection activeCell="H24" sqref="H24:I24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64" bestFit="1" customWidth="1"/>
    <col min="18" max="18" width="10" style="165" bestFit="1" customWidth="1"/>
    <col min="19" max="19" width="11.7109375" style="165" bestFit="1" customWidth="1"/>
    <col min="20" max="16384" width="9.140625" style="4"/>
  </cols>
  <sheetData>
    <row r="1" spans="1:63" s="11" customFormat="1" ht="14.25">
      <c r="A1" s="305" t="s">
        <v>136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63" s="11" customFormat="1" ht="14.25">
      <c r="A2" s="304" t="str">
        <f>Kopsavilkums!C15</f>
        <v>Pamati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63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Q3" s="12"/>
      <c r="R3" s="13"/>
      <c r="S3" s="13"/>
    </row>
    <row r="4" spans="1:63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Q4" s="12"/>
      <c r="R4" s="13"/>
      <c r="S4" s="13"/>
    </row>
    <row r="5" spans="1:63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Q5" s="12"/>
      <c r="R5" s="13"/>
      <c r="S5" s="13"/>
    </row>
    <row r="6" spans="1:63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Q6" s="12"/>
      <c r="R6" s="13"/>
      <c r="S6" s="13"/>
    </row>
    <row r="7" spans="1:63" ht="13.5" thickBot="1">
      <c r="E7"/>
      <c r="F7"/>
      <c r="G7"/>
      <c r="H7"/>
      <c r="I7"/>
      <c r="J7"/>
      <c r="K7"/>
      <c r="L7"/>
      <c r="M7"/>
      <c r="N7"/>
      <c r="O7"/>
    </row>
    <row r="8" spans="1:63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622</v>
      </c>
      <c r="I8" s="283"/>
      <c r="J8"/>
      <c r="K8"/>
      <c r="L8"/>
      <c r="M8"/>
      <c r="N8"/>
      <c r="O8"/>
      <c r="Q8" s="166"/>
      <c r="R8" s="147"/>
      <c r="S8" s="147"/>
    </row>
    <row r="9" spans="1:63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Q9" s="166"/>
      <c r="R9" s="147"/>
      <c r="S9" s="147"/>
    </row>
    <row r="10" spans="1:63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Q10" s="166"/>
      <c r="R10" s="147"/>
      <c r="S10" s="147"/>
    </row>
    <row r="11" spans="1:63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Q11" s="166"/>
      <c r="R11" s="147"/>
      <c r="S11" s="147"/>
    </row>
    <row r="12" spans="1:63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Q12" s="166"/>
      <c r="R12" s="147"/>
      <c r="S12" s="147"/>
    </row>
    <row r="13" spans="1:63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/>
      <c r="K13"/>
      <c r="L13"/>
      <c r="M13"/>
      <c r="N13"/>
      <c r="O13"/>
      <c r="Q13" s="166"/>
      <c r="R13" s="147"/>
      <c r="S13" s="147"/>
    </row>
    <row r="14" spans="1:63" s="10" customFormat="1" ht="15" thickTop="1">
      <c r="A14" s="235">
        <v>1</v>
      </c>
      <c r="B14" s="386" t="s">
        <v>109</v>
      </c>
      <c r="C14" s="386"/>
      <c r="D14" s="386"/>
      <c r="E14" s="386"/>
      <c r="F14" s="379" t="s">
        <v>7</v>
      </c>
      <c r="G14" s="379"/>
      <c r="H14" s="363">
        <v>9</v>
      </c>
      <c r="I14" s="364"/>
      <c r="J14"/>
      <c r="K14"/>
      <c r="L14"/>
      <c r="M14"/>
      <c r="N14"/>
      <c r="O1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s="10" customFormat="1" ht="14.25">
      <c r="A15" s="236"/>
      <c r="B15" s="385" t="s">
        <v>41</v>
      </c>
      <c r="C15" s="385"/>
      <c r="D15" s="385"/>
      <c r="E15" s="385"/>
      <c r="F15" s="380" t="s">
        <v>7</v>
      </c>
      <c r="G15" s="380"/>
      <c r="H15" s="365">
        <f>H14</f>
        <v>9</v>
      </c>
      <c r="I15" s="366"/>
      <c r="J15"/>
      <c r="K15"/>
      <c r="L15"/>
      <c r="M15"/>
      <c r="N15"/>
      <c r="O1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s="10" customFormat="1" ht="14.25">
      <c r="A16" s="236"/>
      <c r="B16" s="387" t="s">
        <v>114</v>
      </c>
      <c r="C16" s="387"/>
      <c r="D16" s="387"/>
      <c r="E16" s="387"/>
      <c r="F16" s="381" t="s">
        <v>28</v>
      </c>
      <c r="G16" s="381"/>
      <c r="H16" s="367">
        <f>ROUND(H14/40,2)</f>
        <v>0.23</v>
      </c>
      <c r="I16" s="368"/>
      <c r="J16"/>
      <c r="K16"/>
      <c r="L16"/>
      <c r="M16"/>
      <c r="N16"/>
      <c r="O1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s="10" customFormat="1" ht="14.25">
      <c r="A17" s="236"/>
      <c r="B17" s="385" t="s">
        <v>21</v>
      </c>
      <c r="C17" s="385"/>
      <c r="D17" s="385"/>
      <c r="E17" s="385"/>
      <c r="F17" s="380" t="s">
        <v>22</v>
      </c>
      <c r="G17" s="380"/>
      <c r="H17" s="365">
        <f>ROUND(H14*0.99/8/10,1)</f>
        <v>0.1</v>
      </c>
      <c r="I17" s="366"/>
      <c r="J17"/>
      <c r="K17"/>
      <c r="L17"/>
      <c r="M17"/>
      <c r="N17"/>
      <c r="O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s="9" customFormat="1" ht="14.25">
      <c r="A18" s="233">
        <v>2</v>
      </c>
      <c r="B18" s="301" t="s">
        <v>117</v>
      </c>
      <c r="C18" s="301"/>
      <c r="D18" s="301"/>
      <c r="E18" s="301"/>
      <c r="F18" s="295" t="s">
        <v>27</v>
      </c>
      <c r="G18" s="295"/>
      <c r="H18" s="369">
        <f>SUM(H19:H19)/1.05</f>
        <v>4.1142857142857141E-2</v>
      </c>
      <c r="I18" s="370"/>
      <c r="J18"/>
      <c r="K18"/>
      <c r="L18"/>
      <c r="M18"/>
      <c r="N18"/>
      <c r="O18"/>
      <c r="Q18" s="160"/>
      <c r="R18" s="161"/>
      <c r="S18" s="161"/>
    </row>
    <row r="19" spans="1:63" s="10" customFormat="1" ht="14.25">
      <c r="A19" s="236"/>
      <c r="B19" s="389" t="s">
        <v>168</v>
      </c>
      <c r="C19" s="389"/>
      <c r="D19" s="389"/>
      <c r="E19" s="389"/>
      <c r="F19" s="381" t="s">
        <v>27</v>
      </c>
      <c r="G19" s="381"/>
      <c r="H19" s="371">
        <f>ROUND(41.1/1000*1.05,4)</f>
        <v>4.3200000000000002E-2</v>
      </c>
      <c r="I19" s="372"/>
      <c r="J19"/>
      <c r="K19"/>
      <c r="L19"/>
      <c r="M19"/>
      <c r="N19"/>
      <c r="O19"/>
      <c r="Q19" s="21"/>
      <c r="R19" s="22"/>
      <c r="S19" s="22"/>
    </row>
    <row r="20" spans="1:63" s="10" customFormat="1" ht="14.25">
      <c r="A20" s="236"/>
      <c r="B20" s="385" t="s">
        <v>30</v>
      </c>
      <c r="C20" s="385"/>
      <c r="D20" s="385"/>
      <c r="E20" s="385"/>
      <c r="F20" s="380" t="s">
        <v>16</v>
      </c>
      <c r="G20" s="380"/>
      <c r="H20" s="373">
        <f>ROUND(H14*4.5,0)</f>
        <v>41</v>
      </c>
      <c r="I20" s="374"/>
      <c r="J20"/>
      <c r="K20"/>
      <c r="L20"/>
      <c r="M20"/>
      <c r="N20"/>
      <c r="O20"/>
      <c r="Q20" s="21"/>
      <c r="R20" s="22"/>
      <c r="S20" s="22"/>
    </row>
    <row r="21" spans="1:63" s="10" customFormat="1" ht="14.25">
      <c r="A21" s="236"/>
      <c r="B21" s="385" t="s">
        <v>33</v>
      </c>
      <c r="C21" s="385"/>
      <c r="D21" s="385"/>
      <c r="E21" s="385"/>
      <c r="F21" s="380" t="s">
        <v>26</v>
      </c>
      <c r="G21" s="380"/>
      <c r="H21" s="367">
        <f>ROUND(H22/100*150,2)</f>
        <v>1.5</v>
      </c>
      <c r="I21" s="368"/>
      <c r="J21"/>
      <c r="K21"/>
      <c r="L21"/>
      <c r="M21"/>
      <c r="N21"/>
      <c r="O21"/>
      <c r="Q21" s="21"/>
      <c r="R21" s="22"/>
      <c r="S21" s="22"/>
    </row>
    <row r="22" spans="1:63" s="10" customFormat="1" ht="14.25">
      <c r="A22" s="233">
        <v>3</v>
      </c>
      <c r="B22" s="388" t="s">
        <v>1</v>
      </c>
      <c r="C22" s="388"/>
      <c r="D22" s="388"/>
      <c r="E22" s="388"/>
      <c r="F22" s="381" t="s">
        <v>13</v>
      </c>
      <c r="G22" s="381"/>
      <c r="H22" s="367">
        <v>1</v>
      </c>
      <c r="I22" s="368"/>
      <c r="J22"/>
      <c r="K22"/>
      <c r="L22"/>
      <c r="M22"/>
      <c r="N22"/>
      <c r="O2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s="10" customFormat="1" ht="14.25">
      <c r="A23" s="236"/>
      <c r="B23" s="387" t="s">
        <v>2</v>
      </c>
      <c r="C23" s="387"/>
      <c r="D23" s="387"/>
      <c r="E23" s="387"/>
      <c r="F23" s="381" t="s">
        <v>8</v>
      </c>
      <c r="G23" s="381"/>
      <c r="H23" s="367">
        <f>ROUND(H22*0.15,2)</f>
        <v>0.15</v>
      </c>
      <c r="I23" s="368"/>
      <c r="J23"/>
      <c r="K23"/>
      <c r="L23"/>
      <c r="M23"/>
      <c r="N23"/>
      <c r="O2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s="10" customFormat="1" ht="14.25">
      <c r="A24" s="236"/>
      <c r="B24" s="387" t="s">
        <v>169</v>
      </c>
      <c r="C24" s="387"/>
      <c r="D24" s="387"/>
      <c r="E24" s="387"/>
      <c r="F24" s="382" t="s">
        <v>13</v>
      </c>
      <c r="G24" s="382"/>
      <c r="H24" s="377">
        <f>H22*1.02</f>
        <v>1.02</v>
      </c>
      <c r="I24" s="378"/>
      <c r="J24"/>
      <c r="K24"/>
      <c r="L24"/>
      <c r="M24"/>
      <c r="N24"/>
      <c r="O2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s="23" customFormat="1">
      <c r="A25" s="233">
        <v>4</v>
      </c>
      <c r="B25" s="390" t="s">
        <v>171</v>
      </c>
      <c r="C25" s="390"/>
      <c r="D25" s="390"/>
      <c r="E25" s="390"/>
      <c r="F25" s="380" t="s">
        <v>7</v>
      </c>
      <c r="G25" s="380"/>
      <c r="H25" s="367">
        <f>1.68*2*0.37+5.82*0.5</f>
        <v>4.1532</v>
      </c>
      <c r="I25" s="368"/>
      <c r="J25"/>
      <c r="K25"/>
      <c r="L25"/>
      <c r="M25"/>
      <c r="N25"/>
      <c r="O25"/>
    </row>
    <row r="26" spans="1:63" s="23" customFormat="1">
      <c r="A26" s="236"/>
      <c r="B26" s="391" t="s">
        <v>170</v>
      </c>
      <c r="C26" s="391"/>
      <c r="D26" s="391"/>
      <c r="E26" s="391"/>
      <c r="F26" s="380" t="s">
        <v>26</v>
      </c>
      <c r="G26" s="380"/>
      <c r="H26" s="365">
        <f>ROUND(H25*2.5,2)</f>
        <v>10.38</v>
      </c>
      <c r="I26" s="366"/>
      <c r="J26"/>
      <c r="K26"/>
      <c r="L26"/>
      <c r="M26"/>
      <c r="N26"/>
      <c r="O26"/>
      <c r="V26"/>
      <c r="W26"/>
      <c r="X26"/>
    </row>
    <row r="27" spans="1:63" s="143" customFormat="1">
      <c r="A27" s="233">
        <v>5</v>
      </c>
      <c r="B27" s="392" t="s">
        <v>177</v>
      </c>
      <c r="C27" s="392"/>
      <c r="D27" s="392"/>
      <c r="E27" s="392"/>
      <c r="F27" s="383" t="s">
        <v>7</v>
      </c>
      <c r="G27" s="383"/>
      <c r="H27" s="367">
        <v>3.11</v>
      </c>
      <c r="I27" s="368"/>
      <c r="J27"/>
      <c r="K27"/>
      <c r="L27"/>
      <c r="M27"/>
      <c r="N27"/>
      <c r="O27"/>
      <c r="V27"/>
      <c r="W27"/>
      <c r="X27"/>
    </row>
    <row r="28" spans="1:63">
      <c r="A28" s="236"/>
      <c r="B28" s="360" t="s">
        <v>140</v>
      </c>
      <c r="C28" s="360"/>
      <c r="D28" s="360"/>
      <c r="E28" s="360"/>
      <c r="F28" s="295" t="s">
        <v>7</v>
      </c>
      <c r="G28" s="295"/>
      <c r="H28" s="275">
        <f>ROUND(H27*1.15,1)</f>
        <v>3.6</v>
      </c>
      <c r="I28" s="276"/>
      <c r="J28"/>
      <c r="K28"/>
      <c r="L28"/>
      <c r="M28"/>
      <c r="N28"/>
      <c r="O28"/>
      <c r="P28" s="147"/>
      <c r="Q28" s="3"/>
      <c r="R28" s="3"/>
      <c r="S28" s="3">
        <v>0.35399999999999998</v>
      </c>
      <c r="T28" s="147"/>
      <c r="U28" s="147"/>
      <c r="V28"/>
      <c r="W28"/>
      <c r="X28"/>
    </row>
    <row r="29" spans="1:63">
      <c r="A29" s="236"/>
      <c r="B29" s="360" t="s">
        <v>172</v>
      </c>
      <c r="C29" s="360"/>
      <c r="D29" s="360"/>
      <c r="E29" s="360"/>
      <c r="F29" s="295" t="s">
        <v>26</v>
      </c>
      <c r="G29" s="295"/>
      <c r="H29" s="275">
        <f>ROUND(H27*4.5,1)</f>
        <v>14</v>
      </c>
      <c r="I29" s="276"/>
      <c r="J29"/>
      <c r="K29"/>
      <c r="L29"/>
      <c r="M29"/>
      <c r="N29"/>
      <c r="O29"/>
      <c r="P29" s="147"/>
      <c r="Q29" s="3"/>
      <c r="R29" s="3"/>
      <c r="S29" s="3">
        <v>0.23400000000000001</v>
      </c>
      <c r="T29" s="147"/>
      <c r="U29" s="147"/>
      <c r="V29"/>
      <c r="W29"/>
      <c r="X29"/>
    </row>
    <row r="30" spans="1:63" s="35" customFormat="1">
      <c r="A30" s="233">
        <v>6</v>
      </c>
      <c r="B30" s="301" t="s">
        <v>178</v>
      </c>
      <c r="C30" s="301"/>
      <c r="D30" s="301"/>
      <c r="E30" s="301"/>
      <c r="F30" s="295" t="s">
        <v>7</v>
      </c>
      <c r="G30" s="295"/>
      <c r="H30" s="375">
        <f>H27</f>
        <v>3.11</v>
      </c>
      <c r="I30" s="376"/>
      <c r="J30"/>
      <c r="K30"/>
      <c r="L30"/>
      <c r="M30"/>
      <c r="N30"/>
      <c r="O30"/>
      <c r="P30" s="185"/>
      <c r="Q30" s="186">
        <v>0.2</v>
      </c>
      <c r="R30" s="185"/>
      <c r="S30" s="185"/>
      <c r="T30" s="185"/>
      <c r="U30" s="185"/>
      <c r="V30"/>
      <c r="W30"/>
      <c r="X30"/>
    </row>
    <row r="31" spans="1:63" s="35" customFormat="1">
      <c r="A31" s="230"/>
      <c r="B31" s="393" t="s">
        <v>173</v>
      </c>
      <c r="C31" s="393"/>
      <c r="D31" s="393"/>
      <c r="E31" s="393"/>
      <c r="F31" s="295" t="s">
        <v>26</v>
      </c>
      <c r="G31" s="295"/>
      <c r="H31" s="375">
        <f>H30*0.25</f>
        <v>0.77749999999999997</v>
      </c>
      <c r="I31" s="376"/>
      <c r="J31"/>
      <c r="K31"/>
      <c r="L31"/>
      <c r="M31"/>
      <c r="N31"/>
      <c r="O31"/>
      <c r="P31" s="185"/>
      <c r="Q31" s="186"/>
      <c r="R31" s="185"/>
      <c r="S31" s="185"/>
      <c r="T31" s="185"/>
      <c r="U31" s="185"/>
      <c r="V31"/>
      <c r="W31"/>
      <c r="X31"/>
    </row>
    <row r="32" spans="1:63" s="35" customFormat="1">
      <c r="A32" s="233">
        <v>7</v>
      </c>
      <c r="B32" s="301" t="s">
        <v>179</v>
      </c>
      <c r="C32" s="301"/>
      <c r="D32" s="301"/>
      <c r="E32" s="301"/>
      <c r="F32" s="295" t="s">
        <v>7</v>
      </c>
      <c r="G32" s="295"/>
      <c r="H32" s="375">
        <f>H30*1.075</f>
        <v>3.3432499999999998</v>
      </c>
      <c r="I32" s="376"/>
      <c r="J32"/>
      <c r="K32"/>
      <c r="L32"/>
      <c r="M32"/>
      <c r="N32"/>
      <c r="O32"/>
      <c r="P32" s="185"/>
      <c r="Q32" s="186">
        <v>2.1</v>
      </c>
      <c r="R32" s="185"/>
      <c r="S32" s="185"/>
      <c r="T32" s="185"/>
      <c r="U32" s="185"/>
      <c r="V32"/>
      <c r="W32"/>
      <c r="X32"/>
    </row>
    <row r="33" spans="1:31" s="35" customFormat="1">
      <c r="A33" s="230"/>
      <c r="B33" s="394" t="s">
        <v>174</v>
      </c>
      <c r="C33" s="394"/>
      <c r="D33" s="394"/>
      <c r="E33" s="394"/>
      <c r="F33" s="295" t="s">
        <v>26</v>
      </c>
      <c r="G33" s="295"/>
      <c r="H33" s="275">
        <f>H32*3.2</f>
        <v>10.698399999999999</v>
      </c>
      <c r="I33" s="276"/>
      <c r="J33"/>
      <c r="K33"/>
      <c r="L33"/>
      <c r="M33"/>
      <c r="N33"/>
      <c r="O33"/>
      <c r="P33" s="185"/>
      <c r="Q33" s="186"/>
      <c r="R33" s="185"/>
      <c r="S33" s="185"/>
      <c r="T33" s="185"/>
      <c r="U33" s="185"/>
      <c r="V33"/>
      <c r="W33"/>
      <c r="X33"/>
    </row>
    <row r="34" spans="1:31" s="174" customFormat="1" ht="14.25">
      <c r="A34" s="233">
        <v>8</v>
      </c>
      <c r="B34" s="301" t="s">
        <v>180</v>
      </c>
      <c r="C34" s="301"/>
      <c r="D34" s="301"/>
      <c r="E34" s="301"/>
      <c r="F34" s="384" t="s">
        <v>7</v>
      </c>
      <c r="G34" s="384"/>
      <c r="H34" s="354">
        <f>H32</f>
        <v>3.3432499999999998</v>
      </c>
      <c r="I34" s="355"/>
      <c r="J34"/>
      <c r="K34"/>
      <c r="L34"/>
      <c r="M34"/>
      <c r="N34"/>
      <c r="O34"/>
      <c r="V34"/>
      <c r="W34"/>
      <c r="X34"/>
    </row>
    <row r="35" spans="1:31" s="174" customFormat="1" ht="14.25">
      <c r="A35" s="230"/>
      <c r="B35" s="357" t="s">
        <v>175</v>
      </c>
      <c r="C35" s="357"/>
      <c r="D35" s="357"/>
      <c r="E35" s="357"/>
      <c r="F35" s="384" t="s">
        <v>26</v>
      </c>
      <c r="G35" s="384"/>
      <c r="H35" s="275">
        <f>H34*0.175</f>
        <v>0.58506874999999992</v>
      </c>
      <c r="I35" s="276"/>
      <c r="J35"/>
      <c r="K35"/>
      <c r="L35"/>
      <c r="M35"/>
      <c r="N35"/>
      <c r="O35"/>
      <c r="V35"/>
      <c r="W35"/>
      <c r="X35"/>
    </row>
    <row r="36" spans="1:31" s="174" customFormat="1" ht="14.25">
      <c r="A36" s="230"/>
      <c r="B36" s="357" t="s">
        <v>176</v>
      </c>
      <c r="C36" s="357"/>
      <c r="D36" s="357"/>
      <c r="E36" s="357"/>
      <c r="F36" s="384" t="s">
        <v>26</v>
      </c>
      <c r="G36" s="384"/>
      <c r="H36" s="275">
        <f>H34*0.25</f>
        <v>0.83581249999999996</v>
      </c>
      <c r="I36" s="276"/>
      <c r="J36"/>
      <c r="K36"/>
      <c r="L36"/>
      <c r="M36"/>
      <c r="N36"/>
      <c r="O36"/>
      <c r="V36"/>
      <c r="W36"/>
      <c r="X36"/>
    </row>
    <row r="37" spans="1:31" s="10" customFormat="1" ht="28.5" customHeight="1" thickBot="1">
      <c r="A37" s="234">
        <v>9</v>
      </c>
      <c r="B37" s="297" t="s">
        <v>24</v>
      </c>
      <c r="C37" s="297"/>
      <c r="D37" s="297"/>
      <c r="E37" s="297"/>
      <c r="F37" s="296" t="s">
        <v>23</v>
      </c>
      <c r="G37" s="296"/>
      <c r="H37" s="292">
        <v>1</v>
      </c>
      <c r="I37" s="293"/>
      <c r="J37"/>
      <c r="K37"/>
      <c r="L37"/>
      <c r="M37"/>
      <c r="N37"/>
      <c r="O37"/>
      <c r="V37"/>
      <c r="W37"/>
      <c r="X37"/>
    </row>
    <row r="38" spans="1:31" customFormat="1"/>
    <row r="39" spans="1:31" customFormat="1"/>
    <row r="40" spans="1:31" customFormat="1"/>
    <row r="41" spans="1:31" s="11" customFormat="1" ht="14.25">
      <c r="B41" s="53"/>
      <c r="P41" s="10"/>
      <c r="Q41" s="21"/>
      <c r="R41" s="22"/>
      <c r="S41" s="22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s="11" customFormat="1" ht="14.25">
      <c r="B42" s="55"/>
      <c r="P42" s="10"/>
      <c r="Q42" s="21"/>
      <c r="R42" s="22"/>
      <c r="S42" s="22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s="11" customFormat="1" ht="14.25">
      <c r="B43" s="102"/>
      <c r="P43" s="10"/>
      <c r="Q43" s="21"/>
      <c r="R43" s="22"/>
      <c r="S43" s="22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>
      <c r="P44" s="14"/>
      <c r="Q44" s="166"/>
      <c r="R44" s="147"/>
      <c r="S44" s="147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</sheetData>
  <mergeCells count="81">
    <mergeCell ref="B37:E37"/>
    <mergeCell ref="B34:E34"/>
    <mergeCell ref="B35:E35"/>
    <mergeCell ref="B36:E36"/>
    <mergeCell ref="B31:E31"/>
    <mergeCell ref="B32:E32"/>
    <mergeCell ref="B33:E33"/>
    <mergeCell ref="B28:E28"/>
    <mergeCell ref="B29:E29"/>
    <mergeCell ref="B30:E30"/>
    <mergeCell ref="B25:E25"/>
    <mergeCell ref="B26:E26"/>
    <mergeCell ref="B27:E27"/>
    <mergeCell ref="B22:E22"/>
    <mergeCell ref="B23:E23"/>
    <mergeCell ref="B24:E24"/>
    <mergeCell ref="B19:E19"/>
    <mergeCell ref="B20:E20"/>
    <mergeCell ref="B21:E21"/>
    <mergeCell ref="B17:E17"/>
    <mergeCell ref="B18:E18"/>
    <mergeCell ref="B14:E14"/>
    <mergeCell ref="B15:E15"/>
    <mergeCell ref="B16:E16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H34:I34"/>
    <mergeCell ref="H35:I35"/>
    <mergeCell ref="H36:I36"/>
    <mergeCell ref="H37:I37"/>
    <mergeCell ref="F8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A2:I2"/>
    <mergeCell ref="A1:I1"/>
    <mergeCell ref="H8:I12"/>
    <mergeCell ref="H13:I13"/>
    <mergeCell ref="B13:E13"/>
    <mergeCell ref="B8:E12"/>
    <mergeCell ref="A8:A12"/>
  </mergeCells>
  <printOptions horizontalCentered="1"/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55"/>
  <sheetViews>
    <sheetView topLeftCell="A7" zoomScaleNormal="100" workbookViewId="0">
      <selection activeCell="B42" sqref="B42:F42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8.140625" style="4" customWidth="1"/>
    <col min="11" max="12" width="9.28515625" style="4" customWidth="1"/>
    <col min="13" max="13" width="11.140625" style="4" customWidth="1"/>
    <col min="14" max="14" width="9.28515625" style="4" customWidth="1"/>
    <col min="15" max="15" width="12" style="4" customWidth="1"/>
    <col min="16" max="16" width="11.7109375" style="4" bestFit="1" customWidth="1"/>
    <col min="17" max="17" width="11.7109375" style="164" bestFit="1" customWidth="1"/>
    <col min="18" max="18" width="10" style="165" bestFit="1" customWidth="1"/>
    <col min="19" max="19" width="11.7109375" style="165" bestFit="1" customWidth="1"/>
    <col min="20" max="16384" width="9.140625" style="4"/>
  </cols>
  <sheetData>
    <row r="1" spans="1:19" s="11" customFormat="1" ht="14.25">
      <c r="A1" s="305" t="s">
        <v>88</v>
      </c>
      <c r="B1" s="305"/>
      <c r="C1" s="305"/>
      <c r="D1" s="305"/>
      <c r="E1" s="305"/>
      <c r="F1" s="305"/>
      <c r="G1" s="305"/>
      <c r="H1" s="305"/>
      <c r="I1" s="305"/>
      <c r="J1" s="305"/>
      <c r="K1" s="216"/>
      <c r="L1" s="216"/>
      <c r="M1" s="216"/>
      <c r="N1" s="216"/>
      <c r="O1" s="216"/>
      <c r="Q1" s="12"/>
      <c r="R1" s="13"/>
      <c r="S1" s="13"/>
    </row>
    <row r="2" spans="1:19" s="11" customFormat="1" ht="14.25">
      <c r="A2" s="304" t="str">
        <f>Kopsavilkums!C16</f>
        <v>Montāžas darbi</v>
      </c>
      <c r="B2" s="304"/>
      <c r="C2" s="304"/>
      <c r="D2" s="304"/>
      <c r="E2" s="304"/>
      <c r="F2" s="304"/>
      <c r="G2" s="304"/>
      <c r="H2" s="304"/>
      <c r="I2" s="304"/>
      <c r="J2" s="304"/>
      <c r="K2" s="232"/>
      <c r="L2" s="232"/>
      <c r="M2" s="232"/>
      <c r="N2" s="232"/>
      <c r="O2" s="232"/>
      <c r="Q2" s="12"/>
      <c r="R2" s="13"/>
      <c r="S2" s="13"/>
    </row>
    <row r="3" spans="1:19" s="11" customFormat="1" ht="14.25">
      <c r="A3" s="135" t="s">
        <v>158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Q3" s="12"/>
      <c r="R3" s="13"/>
      <c r="S3" s="13"/>
    </row>
    <row r="4" spans="1:19" s="11" customFormat="1" ht="14.25">
      <c r="A4" s="135" t="s">
        <v>159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Q4" s="12"/>
      <c r="R4" s="13"/>
      <c r="S4" s="13"/>
    </row>
    <row r="5" spans="1:19" s="11" customFormat="1" ht="14.25">
      <c r="A5" s="135" t="s">
        <v>160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Q5" s="12"/>
      <c r="R5" s="13"/>
      <c r="S5" s="13"/>
    </row>
    <row r="6" spans="1:19" s="11" customFormat="1" ht="14.25">
      <c r="A6" s="135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Q6" s="12"/>
      <c r="R6" s="13"/>
      <c r="S6" s="13"/>
    </row>
    <row r="7" spans="1:19" ht="13.5" thickBot="1">
      <c r="E7" s="14"/>
      <c r="F7" s="14"/>
      <c r="G7" s="14"/>
      <c r="H7" s="14"/>
      <c r="I7" s="14"/>
      <c r="J7" s="261"/>
      <c r="K7" s="261"/>
      <c r="L7" s="261"/>
      <c r="M7" s="261"/>
      <c r="N7" s="261"/>
      <c r="O7" s="261"/>
    </row>
    <row r="8" spans="1:19" s="14" customFormat="1" ht="12.75" customHeight="1">
      <c r="A8" s="277" t="s">
        <v>14</v>
      </c>
      <c r="B8" s="282" t="s">
        <v>15</v>
      </c>
      <c r="C8" s="282"/>
      <c r="D8" s="282"/>
      <c r="E8" s="282"/>
      <c r="F8" s="282"/>
      <c r="G8" s="282" t="s">
        <v>9</v>
      </c>
      <c r="H8" s="282"/>
      <c r="I8" s="282" t="s">
        <v>622</v>
      </c>
      <c r="J8" s="283"/>
      <c r="K8" s="260"/>
      <c r="L8" s="244"/>
      <c r="M8" s="244"/>
      <c r="N8" s="244"/>
      <c r="O8" s="244"/>
      <c r="Q8" s="166"/>
      <c r="R8" s="147"/>
      <c r="S8" s="147"/>
    </row>
    <row r="9" spans="1:19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4"/>
      <c r="J9" s="285"/>
      <c r="K9" s="260"/>
      <c r="L9" s="244"/>
      <c r="M9" s="244"/>
      <c r="N9" s="244"/>
      <c r="O9" s="244"/>
      <c r="Q9" s="166"/>
      <c r="R9" s="147"/>
      <c r="S9" s="147"/>
    </row>
    <row r="10" spans="1:19" s="14" customFormat="1">
      <c r="A10" s="278"/>
      <c r="B10" s="284"/>
      <c r="C10" s="284"/>
      <c r="D10" s="284"/>
      <c r="E10" s="284"/>
      <c r="F10" s="284"/>
      <c r="G10" s="284"/>
      <c r="H10" s="284"/>
      <c r="I10" s="284"/>
      <c r="J10" s="285"/>
      <c r="K10" s="260"/>
      <c r="L10" s="244"/>
      <c r="M10" s="244"/>
      <c r="N10" s="244"/>
      <c r="O10" s="244"/>
      <c r="Q10" s="166"/>
      <c r="R10" s="147"/>
      <c r="S10" s="147"/>
    </row>
    <row r="11" spans="1:19" s="14" customFormat="1">
      <c r="A11" s="278"/>
      <c r="B11" s="284"/>
      <c r="C11" s="284"/>
      <c r="D11" s="284"/>
      <c r="E11" s="284"/>
      <c r="F11" s="284"/>
      <c r="G11" s="284"/>
      <c r="H11" s="284"/>
      <c r="I11" s="284"/>
      <c r="J11" s="285"/>
      <c r="K11" s="260"/>
      <c r="L11" s="244"/>
      <c r="M11" s="244"/>
      <c r="N11" s="244"/>
      <c r="O11" s="244"/>
      <c r="Q11" s="166"/>
      <c r="R11" s="147"/>
      <c r="S11" s="147"/>
    </row>
    <row r="12" spans="1:19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6"/>
      <c r="J12" s="287"/>
      <c r="K12" s="260"/>
      <c r="L12" s="244"/>
      <c r="M12" s="244"/>
      <c r="N12" s="244"/>
      <c r="O12" s="244"/>
      <c r="Q12" s="166"/>
      <c r="R12" s="147"/>
      <c r="S12" s="147"/>
    </row>
    <row r="13" spans="1:19" s="14" customFormat="1" ht="14.25" thickTop="1" thickBot="1">
      <c r="A13" s="37">
        <v>1</v>
      </c>
      <c r="B13" s="348">
        <v>2</v>
      </c>
      <c r="C13" s="348"/>
      <c r="D13" s="348"/>
      <c r="E13" s="348"/>
      <c r="F13" s="348"/>
      <c r="G13" s="348">
        <v>3</v>
      </c>
      <c r="H13" s="348"/>
      <c r="I13" s="348">
        <v>4</v>
      </c>
      <c r="J13" s="349"/>
      <c r="K13" s="260"/>
      <c r="L13" s="244"/>
      <c r="M13" s="244"/>
      <c r="N13" s="244"/>
      <c r="O13" s="244"/>
      <c r="Q13" s="166"/>
      <c r="R13" s="147"/>
      <c r="S13" s="147"/>
    </row>
    <row r="14" spans="1:19" s="10" customFormat="1" ht="15" thickTop="1">
      <c r="A14" s="237"/>
      <c r="B14" s="358" t="s">
        <v>154</v>
      </c>
      <c r="C14" s="358"/>
      <c r="D14" s="358"/>
      <c r="E14" s="358"/>
      <c r="F14" s="358"/>
      <c r="G14" s="294"/>
      <c r="H14" s="294"/>
      <c r="I14" s="350"/>
      <c r="J14" s="351"/>
      <c r="K14" s="198"/>
      <c r="L14" s="198"/>
      <c r="M14" s="198"/>
      <c r="N14" s="198"/>
      <c r="O14" s="198"/>
      <c r="P14" s="4"/>
      <c r="Q14" s="4"/>
    </row>
    <row r="15" spans="1:19">
      <c r="A15" s="236" t="s">
        <v>69</v>
      </c>
      <c r="B15" s="301" t="s">
        <v>155</v>
      </c>
      <c r="C15" s="301"/>
      <c r="D15" s="301"/>
      <c r="E15" s="301"/>
      <c r="F15" s="301"/>
      <c r="G15" s="295" t="s">
        <v>27</v>
      </c>
      <c r="H15" s="295"/>
      <c r="I15" s="395">
        <v>0.44669999999999999</v>
      </c>
      <c r="J15" s="396"/>
      <c r="K15" s="178"/>
      <c r="L15" s="178"/>
      <c r="M15" s="178"/>
      <c r="N15" s="178"/>
      <c r="O15" s="178"/>
      <c r="Q15" s="4"/>
      <c r="R15" s="4"/>
      <c r="S15" s="4"/>
    </row>
    <row r="16" spans="1:19">
      <c r="A16" s="236"/>
      <c r="B16" s="357" t="s">
        <v>21</v>
      </c>
      <c r="C16" s="357"/>
      <c r="D16" s="357"/>
      <c r="E16" s="357"/>
      <c r="F16" s="357"/>
      <c r="G16" s="295" t="s">
        <v>22</v>
      </c>
      <c r="H16" s="295"/>
      <c r="I16" s="354">
        <f>I15*230/100/5.25</f>
        <v>0.19569714285714285</v>
      </c>
      <c r="J16" s="355"/>
      <c r="K16" s="198"/>
      <c r="L16" s="198"/>
      <c r="M16" s="198"/>
      <c r="N16" s="198"/>
      <c r="O16" s="198"/>
      <c r="Q16" s="4"/>
      <c r="R16" s="4"/>
      <c r="S16" s="4"/>
    </row>
    <row r="17" spans="1:20" s="5" customFormat="1" ht="14.25">
      <c r="A17" s="236"/>
      <c r="B17" s="399" t="s">
        <v>495</v>
      </c>
      <c r="C17" s="399"/>
      <c r="D17" s="399"/>
      <c r="E17" s="399"/>
      <c r="F17" s="399"/>
      <c r="G17" s="402" t="s">
        <v>7</v>
      </c>
      <c r="H17" s="402"/>
      <c r="I17" s="397">
        <f>3.26+5.27*2</f>
        <v>13.799999999999999</v>
      </c>
      <c r="J17" s="398"/>
      <c r="K17" s="140"/>
      <c r="L17" s="140"/>
      <c r="M17" s="140"/>
      <c r="N17" s="140"/>
      <c r="O17" s="140"/>
      <c r="P17" s="25"/>
    </row>
    <row r="18" spans="1:20" s="136" customFormat="1">
      <c r="A18" s="236" t="s">
        <v>71</v>
      </c>
      <c r="B18" s="302" t="s">
        <v>498</v>
      </c>
      <c r="C18" s="302"/>
      <c r="D18" s="302"/>
      <c r="E18" s="302"/>
      <c r="F18" s="302"/>
      <c r="G18" s="295" t="s">
        <v>7</v>
      </c>
      <c r="H18" s="295"/>
      <c r="I18" s="275">
        <v>13.8</v>
      </c>
      <c r="J18" s="276"/>
      <c r="K18" s="178"/>
      <c r="L18" s="178"/>
      <c r="M18" s="178"/>
      <c r="N18" s="178"/>
      <c r="O18" s="178"/>
      <c r="P18" s="167"/>
      <c r="T18" s="199"/>
    </row>
    <row r="19" spans="1:20">
      <c r="A19" s="236"/>
      <c r="B19" s="357" t="s">
        <v>499</v>
      </c>
      <c r="C19" s="357"/>
      <c r="D19" s="357"/>
      <c r="E19" s="357"/>
      <c r="F19" s="357"/>
      <c r="G19" s="295" t="s">
        <v>31</v>
      </c>
      <c r="H19" s="295"/>
      <c r="I19" s="275">
        <f>28.2*1.1</f>
        <v>31.020000000000003</v>
      </c>
      <c r="J19" s="276"/>
      <c r="K19" s="198"/>
      <c r="L19" s="198"/>
      <c r="M19" s="198"/>
      <c r="N19" s="198"/>
      <c r="O19" s="198"/>
      <c r="P19" s="147"/>
      <c r="Q19" s="136"/>
      <c r="R19" s="4"/>
      <c r="S19" s="4"/>
    </row>
    <row r="20" spans="1:20">
      <c r="A20" s="236"/>
      <c r="B20" s="357" t="s">
        <v>496</v>
      </c>
      <c r="C20" s="357"/>
      <c r="D20" s="357"/>
      <c r="E20" s="357"/>
      <c r="F20" s="357"/>
      <c r="G20" s="295" t="s">
        <v>17</v>
      </c>
      <c r="H20" s="295"/>
      <c r="I20" s="280">
        <v>1</v>
      </c>
      <c r="J20" s="281"/>
      <c r="K20" s="198"/>
      <c r="L20" s="198"/>
      <c r="M20" s="198"/>
      <c r="N20" s="198"/>
      <c r="O20" s="198"/>
      <c r="P20" s="165"/>
      <c r="Q20" s="136"/>
      <c r="R20" s="4"/>
      <c r="S20" s="4"/>
    </row>
    <row r="21" spans="1:20" s="10" customFormat="1" ht="14.25">
      <c r="A21" s="236" t="s">
        <v>265</v>
      </c>
      <c r="B21" s="301" t="s">
        <v>500</v>
      </c>
      <c r="C21" s="301"/>
      <c r="D21" s="301"/>
      <c r="E21" s="301"/>
      <c r="F21" s="301"/>
      <c r="G21" s="295" t="s">
        <v>7</v>
      </c>
      <c r="H21" s="295"/>
      <c r="I21" s="354">
        <f>I17</f>
        <v>13.799999999999999</v>
      </c>
      <c r="J21" s="355"/>
      <c r="K21" s="178"/>
      <c r="L21" s="178"/>
      <c r="M21" s="178"/>
      <c r="N21" s="178"/>
      <c r="O21" s="178"/>
    </row>
    <row r="22" spans="1:20" s="9" customFormat="1" ht="14.25">
      <c r="A22" s="236"/>
      <c r="B22" s="357" t="s">
        <v>129</v>
      </c>
      <c r="C22" s="357"/>
      <c r="D22" s="357"/>
      <c r="E22" s="357"/>
      <c r="F22" s="357"/>
      <c r="G22" s="382" t="s">
        <v>7</v>
      </c>
      <c r="H22" s="382"/>
      <c r="I22" s="377">
        <f>I21*1.15</f>
        <v>15.869999999999997</v>
      </c>
      <c r="J22" s="378"/>
      <c r="K22" s="178"/>
      <c r="L22" s="178"/>
      <c r="M22" s="178"/>
      <c r="N22" s="178"/>
      <c r="O22" s="178"/>
    </row>
    <row r="23" spans="1:20" s="143" customFormat="1">
      <c r="A23" s="242" t="s">
        <v>75</v>
      </c>
      <c r="B23" s="392" t="s">
        <v>503</v>
      </c>
      <c r="C23" s="392"/>
      <c r="D23" s="392"/>
      <c r="E23" s="392"/>
      <c r="F23" s="392"/>
      <c r="G23" s="383" t="s">
        <v>7</v>
      </c>
      <c r="H23" s="383"/>
      <c r="I23" s="397">
        <f>I18</f>
        <v>13.8</v>
      </c>
      <c r="J23" s="398"/>
      <c r="K23" s="238"/>
      <c r="L23" s="238"/>
      <c r="M23" s="238"/>
      <c r="N23" s="238"/>
      <c r="O23" s="238"/>
      <c r="P23" s="200"/>
      <c r="Q23" s="136"/>
    </row>
    <row r="24" spans="1:20" s="9" customFormat="1" ht="14.25">
      <c r="A24" s="236"/>
      <c r="B24" s="405" t="s">
        <v>502</v>
      </c>
      <c r="C24" s="405"/>
      <c r="D24" s="405"/>
      <c r="E24" s="405"/>
      <c r="F24" s="405"/>
      <c r="G24" s="403" t="s">
        <v>7</v>
      </c>
      <c r="H24" s="403"/>
      <c r="I24" s="275">
        <f>I23*1.05</f>
        <v>14.490000000000002</v>
      </c>
      <c r="J24" s="276"/>
      <c r="K24" s="178"/>
      <c r="L24" s="178"/>
      <c r="M24" s="178"/>
      <c r="N24" s="178"/>
      <c r="O24" s="178"/>
    </row>
    <row r="25" spans="1:20" s="5" customFormat="1" ht="14.25">
      <c r="A25" s="236"/>
      <c r="B25" s="357" t="s">
        <v>501</v>
      </c>
      <c r="C25" s="357"/>
      <c r="D25" s="357"/>
      <c r="E25" s="357"/>
      <c r="F25" s="357"/>
      <c r="G25" s="403" t="s">
        <v>7</v>
      </c>
      <c r="H25" s="403"/>
      <c r="I25" s="275">
        <f>I24</f>
        <v>14.490000000000002</v>
      </c>
      <c r="J25" s="276"/>
      <c r="K25" s="140"/>
      <c r="L25" s="140"/>
      <c r="M25" s="140"/>
      <c r="N25" s="140"/>
      <c r="O25" s="140"/>
    </row>
    <row r="26" spans="1:20" s="136" customFormat="1">
      <c r="A26" s="236" t="s">
        <v>115</v>
      </c>
      <c r="B26" s="302" t="s">
        <v>498</v>
      </c>
      <c r="C26" s="302"/>
      <c r="D26" s="302"/>
      <c r="E26" s="302"/>
      <c r="F26" s="302"/>
      <c r="G26" s="295" t="s">
        <v>7</v>
      </c>
      <c r="H26" s="295"/>
      <c r="I26" s="275">
        <f>I23</f>
        <v>13.8</v>
      </c>
      <c r="J26" s="276"/>
      <c r="K26" s="178"/>
      <c r="L26" s="178"/>
      <c r="M26" s="178"/>
      <c r="N26" s="178"/>
      <c r="O26" s="178"/>
      <c r="P26" s="167"/>
    </row>
    <row r="27" spans="1:20">
      <c r="A27" s="236"/>
      <c r="B27" s="357" t="s">
        <v>497</v>
      </c>
      <c r="C27" s="357"/>
      <c r="D27" s="357"/>
      <c r="E27" s="357"/>
      <c r="F27" s="357"/>
      <c r="G27" s="295" t="s">
        <v>31</v>
      </c>
      <c r="H27" s="295"/>
      <c r="I27" s="275">
        <f>24*1.1</f>
        <v>26.400000000000002</v>
      </c>
      <c r="J27" s="276"/>
      <c r="K27" s="198"/>
      <c r="L27" s="198"/>
      <c r="M27" s="198"/>
      <c r="N27" s="198"/>
      <c r="O27" s="198"/>
      <c r="P27" s="147"/>
      <c r="Q27" s="136"/>
      <c r="R27" s="4"/>
      <c r="S27" s="4"/>
    </row>
    <row r="28" spans="1:20">
      <c r="A28" s="236"/>
      <c r="B28" s="357" t="s">
        <v>496</v>
      </c>
      <c r="C28" s="357"/>
      <c r="D28" s="357"/>
      <c r="E28" s="357"/>
      <c r="F28" s="357"/>
      <c r="G28" s="295" t="s">
        <v>17</v>
      </c>
      <c r="H28" s="295"/>
      <c r="I28" s="280">
        <v>1</v>
      </c>
      <c r="J28" s="281"/>
      <c r="K28" s="198"/>
      <c r="L28" s="198"/>
      <c r="M28" s="198"/>
      <c r="N28" s="198"/>
      <c r="O28" s="198"/>
      <c r="P28" s="165"/>
      <c r="Q28" s="136"/>
      <c r="R28" s="4"/>
      <c r="S28" s="4"/>
    </row>
    <row r="29" spans="1:20" s="10" customFormat="1" ht="14.25">
      <c r="A29" s="236" t="s">
        <v>116</v>
      </c>
      <c r="B29" s="301" t="s">
        <v>504</v>
      </c>
      <c r="C29" s="301"/>
      <c r="D29" s="301"/>
      <c r="E29" s="301"/>
      <c r="F29" s="301"/>
      <c r="G29" s="295" t="s">
        <v>7</v>
      </c>
      <c r="H29" s="295"/>
      <c r="I29" s="354">
        <f>I18*2</f>
        <v>27.6</v>
      </c>
      <c r="J29" s="355"/>
      <c r="K29" s="178"/>
      <c r="L29" s="178"/>
      <c r="M29" s="178"/>
      <c r="N29" s="178"/>
      <c r="O29" s="178"/>
      <c r="P29" s="191"/>
    </row>
    <row r="30" spans="1:20">
      <c r="A30" s="236"/>
      <c r="B30" s="357" t="s">
        <v>505</v>
      </c>
      <c r="C30" s="357"/>
      <c r="D30" s="357"/>
      <c r="E30" s="357"/>
      <c r="F30" s="357"/>
      <c r="G30" s="295" t="s">
        <v>7</v>
      </c>
      <c r="H30" s="295"/>
      <c r="I30" s="400">
        <f>I29*1.05</f>
        <v>28.980000000000004</v>
      </c>
      <c r="J30" s="401"/>
      <c r="K30" s="178"/>
      <c r="L30" s="178"/>
      <c r="M30" s="178"/>
      <c r="N30" s="178"/>
      <c r="O30" s="178"/>
      <c r="Q30" s="4"/>
      <c r="R30" s="4"/>
      <c r="S30" s="4"/>
    </row>
    <row r="31" spans="1:20">
      <c r="A31" s="236"/>
      <c r="B31" s="357" t="s">
        <v>496</v>
      </c>
      <c r="C31" s="357"/>
      <c r="D31" s="357"/>
      <c r="E31" s="357"/>
      <c r="F31" s="357"/>
      <c r="G31" s="295" t="s">
        <v>17</v>
      </c>
      <c r="H31" s="295"/>
      <c r="I31" s="280">
        <v>1</v>
      </c>
      <c r="J31" s="281"/>
      <c r="K31" s="198"/>
      <c r="L31" s="198"/>
      <c r="M31" s="198"/>
      <c r="N31" s="198"/>
      <c r="O31" s="198"/>
      <c r="P31" s="165"/>
      <c r="Q31" s="136"/>
      <c r="R31" s="4"/>
      <c r="S31" s="4"/>
    </row>
    <row r="32" spans="1:20" s="9" customFormat="1" ht="14.25">
      <c r="A32" s="230"/>
      <c r="B32" s="405" t="s">
        <v>182</v>
      </c>
      <c r="C32" s="405"/>
      <c r="D32" s="405"/>
      <c r="E32" s="405"/>
      <c r="F32" s="405"/>
      <c r="G32" s="295" t="s">
        <v>17</v>
      </c>
      <c r="H32" s="295"/>
      <c r="I32" s="280">
        <v>1</v>
      </c>
      <c r="J32" s="281"/>
      <c r="K32" s="178"/>
      <c r="L32" s="178"/>
      <c r="M32" s="178"/>
      <c r="N32" s="178"/>
      <c r="O32" s="178"/>
    </row>
    <row r="33" spans="1:19" s="10" customFormat="1" ht="14.25">
      <c r="A33" s="230"/>
      <c r="B33" s="399" t="s">
        <v>191</v>
      </c>
      <c r="C33" s="399"/>
      <c r="D33" s="399"/>
      <c r="E33" s="399"/>
      <c r="F33" s="399"/>
      <c r="G33" s="295"/>
      <c r="H33" s="295"/>
      <c r="I33" s="354"/>
      <c r="J33" s="355"/>
      <c r="K33" s="198"/>
      <c r="L33" s="198"/>
      <c r="M33" s="198"/>
      <c r="N33" s="198"/>
      <c r="O33" s="198"/>
      <c r="P33" s="4"/>
      <c r="Q33" s="4"/>
    </row>
    <row r="34" spans="1:19" s="23" customFormat="1">
      <c r="A34" s="236" t="s">
        <v>76</v>
      </c>
      <c r="B34" s="302" t="s">
        <v>183</v>
      </c>
      <c r="C34" s="302"/>
      <c r="D34" s="302"/>
      <c r="E34" s="302"/>
      <c r="F34" s="302"/>
      <c r="G34" s="295" t="s">
        <v>27</v>
      </c>
      <c r="H34" s="295"/>
      <c r="I34" s="369">
        <f>31.2/1000</f>
        <v>3.1199999999999999E-2</v>
      </c>
      <c r="J34" s="370"/>
      <c r="K34" s="178"/>
      <c r="L34" s="178"/>
      <c r="M34" s="178"/>
      <c r="N34" s="178"/>
      <c r="O34" s="178"/>
    </row>
    <row r="35" spans="1:19" s="23" customFormat="1">
      <c r="A35" s="236"/>
      <c r="B35" s="406" t="s">
        <v>156</v>
      </c>
      <c r="C35" s="406"/>
      <c r="D35" s="406"/>
      <c r="E35" s="406"/>
      <c r="F35" s="406"/>
      <c r="G35" s="295" t="s">
        <v>27</v>
      </c>
      <c r="H35" s="295"/>
      <c r="I35" s="395">
        <f>I34*1.1</f>
        <v>3.4320000000000003E-2</v>
      </c>
      <c r="J35" s="396"/>
      <c r="K35" s="198"/>
      <c r="L35" s="198"/>
      <c r="M35" s="198"/>
      <c r="N35" s="198"/>
      <c r="O35" s="198"/>
      <c r="Q35" s="131"/>
    </row>
    <row r="36" spans="1:19" s="23" customFormat="1">
      <c r="A36" s="236"/>
      <c r="B36" s="357" t="s">
        <v>184</v>
      </c>
      <c r="C36" s="357"/>
      <c r="D36" s="357"/>
      <c r="E36" s="357"/>
      <c r="F36" s="357"/>
      <c r="G36" s="295" t="s">
        <v>26</v>
      </c>
      <c r="H36" s="295"/>
      <c r="I36" s="354">
        <f>ROUND(I34*31,1)</f>
        <v>1</v>
      </c>
      <c r="J36" s="355"/>
      <c r="K36" s="198"/>
      <c r="L36" s="198"/>
      <c r="M36" s="198"/>
      <c r="N36" s="198"/>
      <c r="O36" s="198"/>
    </row>
    <row r="37" spans="1:19" s="23" customFormat="1">
      <c r="A37" s="236"/>
      <c r="B37" s="357" t="s">
        <v>185</v>
      </c>
      <c r="C37" s="357"/>
      <c r="D37" s="357"/>
      <c r="E37" s="357"/>
      <c r="F37" s="357"/>
      <c r="G37" s="295" t="s">
        <v>26</v>
      </c>
      <c r="H37" s="295"/>
      <c r="I37" s="354">
        <f>I38/2</f>
        <v>0.55000000000000004</v>
      </c>
      <c r="J37" s="355"/>
      <c r="K37" s="198"/>
      <c r="L37" s="198"/>
      <c r="M37" s="198"/>
      <c r="N37" s="198"/>
      <c r="O37" s="198"/>
    </row>
    <row r="38" spans="1:19" s="23" customFormat="1">
      <c r="A38" s="236"/>
      <c r="B38" s="357" t="s">
        <v>186</v>
      </c>
      <c r="C38" s="357"/>
      <c r="D38" s="357"/>
      <c r="E38" s="357"/>
      <c r="F38" s="357"/>
      <c r="G38" s="295" t="s">
        <v>28</v>
      </c>
      <c r="H38" s="295"/>
      <c r="I38" s="354">
        <f>ROUND(I34*0.7*50,1)</f>
        <v>1.1000000000000001</v>
      </c>
      <c r="J38" s="355"/>
      <c r="K38" s="198"/>
      <c r="L38" s="198"/>
      <c r="M38" s="198"/>
      <c r="N38" s="198"/>
      <c r="O38" s="198"/>
    </row>
    <row r="39" spans="1:19" s="23" customFormat="1">
      <c r="A39" s="236"/>
      <c r="B39" s="357" t="s">
        <v>21</v>
      </c>
      <c r="C39" s="357"/>
      <c r="D39" s="357"/>
      <c r="E39" s="357"/>
      <c r="F39" s="357"/>
      <c r="G39" s="295" t="s">
        <v>22</v>
      </c>
      <c r="H39" s="295"/>
      <c r="I39" s="354">
        <f>I34*230/100/4</f>
        <v>1.7939999999999998E-2</v>
      </c>
      <c r="J39" s="355"/>
      <c r="K39" s="198"/>
      <c r="L39" s="198"/>
      <c r="M39" s="198"/>
      <c r="N39" s="198"/>
      <c r="O39" s="198"/>
    </row>
    <row r="40" spans="1:19" s="10" customFormat="1" ht="14.25">
      <c r="A40" s="236"/>
      <c r="B40" s="357" t="s">
        <v>29</v>
      </c>
      <c r="C40" s="357"/>
      <c r="D40" s="357"/>
      <c r="E40" s="357"/>
      <c r="F40" s="357"/>
      <c r="G40" s="295" t="s">
        <v>17</v>
      </c>
      <c r="H40" s="295"/>
      <c r="I40" s="280">
        <v>1</v>
      </c>
      <c r="J40" s="281"/>
      <c r="K40" s="198"/>
      <c r="L40" s="198"/>
      <c r="M40" s="198"/>
      <c r="N40" s="198"/>
      <c r="O40" s="198"/>
    </row>
    <row r="41" spans="1:19" s="23" customFormat="1">
      <c r="A41" s="236" t="s">
        <v>77</v>
      </c>
      <c r="B41" s="301" t="s">
        <v>187</v>
      </c>
      <c r="C41" s="301"/>
      <c r="D41" s="301"/>
      <c r="E41" s="301"/>
      <c r="F41" s="301"/>
      <c r="G41" s="295" t="s">
        <v>17</v>
      </c>
      <c r="H41" s="295"/>
      <c r="I41" s="280">
        <v>1</v>
      </c>
      <c r="J41" s="281"/>
      <c r="K41" s="198"/>
      <c r="L41" s="198"/>
      <c r="M41" s="198"/>
      <c r="N41" s="198"/>
      <c r="O41" s="198"/>
    </row>
    <row r="42" spans="1:19" s="23" customFormat="1">
      <c r="A42" s="236" t="s">
        <v>78</v>
      </c>
      <c r="B42" s="301" t="s">
        <v>188</v>
      </c>
      <c r="C42" s="301"/>
      <c r="D42" s="301"/>
      <c r="E42" s="301"/>
      <c r="F42" s="301"/>
      <c r="G42" s="295" t="s">
        <v>7</v>
      </c>
      <c r="H42" s="295"/>
      <c r="I42" s="354">
        <v>25</v>
      </c>
      <c r="J42" s="355"/>
      <c r="K42" s="198"/>
      <c r="L42" s="198"/>
      <c r="M42" s="198"/>
      <c r="N42" s="198"/>
      <c r="O42" s="198"/>
    </row>
    <row r="43" spans="1:19" s="23" customFormat="1">
      <c r="A43" s="236"/>
      <c r="B43" s="357" t="s">
        <v>189</v>
      </c>
      <c r="C43" s="357"/>
      <c r="D43" s="357"/>
      <c r="E43" s="357"/>
      <c r="F43" s="357"/>
      <c r="G43" s="295" t="s">
        <v>28</v>
      </c>
      <c r="H43" s="295"/>
      <c r="I43" s="354">
        <f>ROUND(I42*0.25,1)</f>
        <v>6.3</v>
      </c>
      <c r="J43" s="355"/>
      <c r="K43" s="198"/>
      <c r="L43" s="198"/>
      <c r="M43" s="198"/>
      <c r="N43" s="198"/>
      <c r="O43" s="198"/>
    </row>
    <row r="44" spans="1:19" s="180" customFormat="1">
      <c r="A44" s="236"/>
      <c r="B44" s="405" t="s">
        <v>190</v>
      </c>
      <c r="C44" s="405"/>
      <c r="D44" s="405"/>
      <c r="E44" s="405"/>
      <c r="F44" s="405"/>
      <c r="G44" s="295" t="s">
        <v>7</v>
      </c>
      <c r="H44" s="295"/>
      <c r="I44" s="354">
        <f>I42</f>
        <v>25</v>
      </c>
      <c r="J44" s="355"/>
      <c r="K44" s="178"/>
      <c r="L44" s="178"/>
      <c r="M44" s="178"/>
      <c r="N44" s="178"/>
      <c r="O44" s="178"/>
    </row>
    <row r="45" spans="1:19" s="176" customFormat="1">
      <c r="A45" s="236" t="s">
        <v>83</v>
      </c>
      <c r="B45" s="301" t="s">
        <v>192</v>
      </c>
      <c r="C45" s="301"/>
      <c r="D45" s="301"/>
      <c r="E45" s="301"/>
      <c r="F45" s="301"/>
      <c r="G45" s="403" t="s">
        <v>7</v>
      </c>
      <c r="H45" s="403"/>
      <c r="I45" s="354">
        <f>0.4*1.2</f>
        <v>0.48</v>
      </c>
      <c r="J45" s="355"/>
      <c r="K45" s="140"/>
      <c r="L45" s="140"/>
      <c r="M45" s="140"/>
      <c r="N45" s="140"/>
      <c r="O45" s="140"/>
    </row>
    <row r="46" spans="1:19" s="5" customFormat="1" ht="14.25">
      <c r="A46" s="236"/>
      <c r="B46" s="360" t="s">
        <v>124</v>
      </c>
      <c r="C46" s="360"/>
      <c r="D46" s="360"/>
      <c r="E46" s="360"/>
      <c r="F46" s="360"/>
      <c r="G46" s="403" t="s">
        <v>7</v>
      </c>
      <c r="H46" s="403"/>
      <c r="I46" s="354">
        <f>I45*1.2</f>
        <v>0.57599999999999996</v>
      </c>
      <c r="J46" s="355"/>
      <c r="K46" s="140"/>
      <c r="L46" s="140"/>
      <c r="M46" s="140"/>
      <c r="N46" s="140"/>
      <c r="O46" s="140"/>
      <c r="Q46" s="159"/>
      <c r="R46" s="24"/>
      <c r="S46" s="24"/>
    </row>
    <row r="47" spans="1:19" s="9" customFormat="1" ht="14.25">
      <c r="A47" s="236"/>
      <c r="B47" s="407" t="s">
        <v>125</v>
      </c>
      <c r="C47" s="407"/>
      <c r="D47" s="407"/>
      <c r="E47" s="407"/>
      <c r="F47" s="407"/>
      <c r="G47" s="404" t="s">
        <v>84</v>
      </c>
      <c r="H47" s="404"/>
      <c r="I47" s="275">
        <f>I45*10.5</f>
        <v>5.04</v>
      </c>
      <c r="J47" s="276"/>
      <c r="K47" s="178"/>
      <c r="L47" s="178"/>
      <c r="M47" s="178"/>
      <c r="N47" s="178"/>
      <c r="O47" s="178"/>
      <c r="Q47" s="160"/>
      <c r="R47" s="161"/>
      <c r="S47" s="161"/>
    </row>
    <row r="48" spans="1:19" s="10" customFormat="1" ht="29.25" customHeight="1" thickBot="1">
      <c r="A48" s="243">
        <v>4</v>
      </c>
      <c r="B48" s="297" t="s">
        <v>24</v>
      </c>
      <c r="C48" s="297"/>
      <c r="D48" s="297"/>
      <c r="E48" s="297"/>
      <c r="F48" s="297"/>
      <c r="G48" s="296" t="s">
        <v>23</v>
      </c>
      <c r="H48" s="296"/>
      <c r="I48" s="292">
        <v>1</v>
      </c>
      <c r="J48" s="293"/>
      <c r="K48" s="178"/>
      <c r="L48" s="178"/>
      <c r="M48" s="178"/>
      <c r="N48" s="178"/>
      <c r="O48" s="178"/>
      <c r="P48" s="183"/>
      <c r="Q48" s="183"/>
    </row>
    <row r="49" spans="1:31" s="11" customFormat="1" ht="15">
      <c r="A49" s="10"/>
      <c r="B49" s="209"/>
      <c r="C49" s="210"/>
      <c r="D49" s="239"/>
      <c r="E49" s="240"/>
      <c r="F49" s="240"/>
      <c r="G49" s="240"/>
      <c r="H49" s="240"/>
      <c r="I49" s="240"/>
      <c r="J49" s="240"/>
      <c r="K49" s="206"/>
      <c r="L49" s="206"/>
      <c r="M49" s="206"/>
      <c r="N49" s="206"/>
      <c r="O49" s="20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s="11" customFormat="1" ht="14.25">
      <c r="A50" s="14"/>
      <c r="B50" s="187"/>
      <c r="C50" s="211"/>
      <c r="D50" s="212"/>
      <c r="E50" s="14"/>
      <c r="F50" s="14"/>
      <c r="G50" s="14"/>
      <c r="H50" s="14"/>
      <c r="I50" s="14"/>
      <c r="J50" s="14"/>
      <c r="K50" s="207"/>
      <c r="L50" s="208"/>
      <c r="M50" s="208"/>
      <c r="N50" s="208"/>
      <c r="O50" s="208"/>
      <c r="P50" s="10"/>
      <c r="Q50" s="183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s="11" customFormat="1" ht="14.25">
      <c r="A51" s="10"/>
      <c r="B51" s="30"/>
      <c r="C51" s="31"/>
      <c r="D51" s="32"/>
      <c r="E51" s="14"/>
      <c r="F51" s="14"/>
      <c r="G51" s="14"/>
      <c r="H51" s="14"/>
      <c r="I51" s="14"/>
      <c r="J51" s="14"/>
      <c r="K51" s="33"/>
      <c r="L51" s="33"/>
      <c r="M51" s="33"/>
      <c r="N51" s="33"/>
      <c r="O51" s="33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s="11" customFormat="1" ht="14.25">
      <c r="A52" s="10"/>
      <c r="B52" s="5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21"/>
      <c r="R52" s="22"/>
      <c r="S52" s="22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s="11" customFormat="1" ht="14.25">
      <c r="A53" s="10"/>
      <c r="B53" s="24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21"/>
      <c r="R53" s="22"/>
      <c r="S53" s="22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s="11" customFormat="1" ht="14.25">
      <c r="A54" s="10"/>
      <c r="B54" s="10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21"/>
      <c r="R54" s="22"/>
      <c r="S54" s="22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>
      <c r="P55" s="14"/>
      <c r="Q55" s="166"/>
      <c r="R55" s="147"/>
      <c r="S55" s="147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</sheetData>
  <autoFilter ref="C1:C55"/>
  <mergeCells count="114">
    <mergeCell ref="B47:F47"/>
    <mergeCell ref="B48:F48"/>
    <mergeCell ref="B44:F44"/>
    <mergeCell ref="B45:F45"/>
    <mergeCell ref="B46:F46"/>
    <mergeCell ref="B41:F41"/>
    <mergeCell ref="B42:F42"/>
    <mergeCell ref="B43:F43"/>
    <mergeCell ref="B38:F38"/>
    <mergeCell ref="B39:F39"/>
    <mergeCell ref="B40:F40"/>
    <mergeCell ref="B35:F35"/>
    <mergeCell ref="B36:F36"/>
    <mergeCell ref="B37:F37"/>
    <mergeCell ref="B32:F32"/>
    <mergeCell ref="B33:F33"/>
    <mergeCell ref="B34:F34"/>
    <mergeCell ref="B27:F27"/>
    <mergeCell ref="B28:F28"/>
    <mergeCell ref="B29:F29"/>
    <mergeCell ref="B30:F30"/>
    <mergeCell ref="B31:F31"/>
    <mergeCell ref="G24:H24"/>
    <mergeCell ref="G25:H25"/>
    <mergeCell ref="B26:F26"/>
    <mergeCell ref="B23:F23"/>
    <mergeCell ref="B24:F24"/>
    <mergeCell ref="B25:F25"/>
    <mergeCell ref="B20:F20"/>
    <mergeCell ref="B21:F21"/>
    <mergeCell ref="B22:F22"/>
    <mergeCell ref="G26:H26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44:H44"/>
    <mergeCell ref="G45:H45"/>
    <mergeCell ref="G46:H46"/>
    <mergeCell ref="G47:H47"/>
    <mergeCell ref="G48:H48"/>
    <mergeCell ref="G39:H39"/>
    <mergeCell ref="G40:H40"/>
    <mergeCell ref="G41:H41"/>
    <mergeCell ref="G42:H42"/>
    <mergeCell ref="G43:H43"/>
    <mergeCell ref="G27:H27"/>
    <mergeCell ref="G28:H28"/>
    <mergeCell ref="I45:J45"/>
    <mergeCell ref="I46:J46"/>
    <mergeCell ref="I47:J47"/>
    <mergeCell ref="I48:J48"/>
    <mergeCell ref="G8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A8:A12"/>
    <mergeCell ref="I15:J15"/>
    <mergeCell ref="I16:J16"/>
    <mergeCell ref="I17:J17"/>
    <mergeCell ref="I18:J18"/>
    <mergeCell ref="I19:J19"/>
    <mergeCell ref="A2:J2"/>
    <mergeCell ref="A1:J1"/>
    <mergeCell ref="I8:J12"/>
    <mergeCell ref="I13:J13"/>
    <mergeCell ref="I14:J14"/>
    <mergeCell ref="B8:F12"/>
    <mergeCell ref="B13:F13"/>
    <mergeCell ref="B14:F14"/>
    <mergeCell ref="B15:F15"/>
    <mergeCell ref="B16:F16"/>
    <mergeCell ref="B17:F17"/>
    <mergeCell ref="B18:F18"/>
    <mergeCell ref="B19:F19"/>
  </mergeCells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213"/>
  <sheetViews>
    <sheetView topLeftCell="A16" zoomScale="80" zoomScaleNormal="80" workbookViewId="0">
      <selection activeCell="C63" sqref="C63:D63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4" width="9.28515625" style="4" customWidth="1"/>
    <col min="15" max="15" width="12" style="4" customWidth="1"/>
    <col min="16" max="16" width="11.7109375" style="4" bestFit="1" customWidth="1"/>
    <col min="17" max="17" width="11.7109375" style="15" bestFit="1" customWidth="1"/>
    <col min="18" max="18" width="10" style="16" bestFit="1" customWidth="1"/>
    <col min="19" max="19" width="11.7109375" style="16" bestFit="1" customWidth="1"/>
    <col min="20" max="16384" width="9.140625" style="4"/>
  </cols>
  <sheetData>
    <row r="1" spans="1:61" s="11" customFormat="1" ht="14.25">
      <c r="A1" s="305" t="s">
        <v>193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61" s="11" customFormat="1" ht="14.25">
      <c r="A2" s="304" t="str">
        <f>Kopsavilkums!C17</f>
        <v>Jumts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61" s="11" customFormat="1" ht="14.25">
      <c r="A3" s="135" t="s">
        <v>158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12"/>
      <c r="R3" s="13"/>
      <c r="S3" s="13"/>
    </row>
    <row r="4" spans="1:61" s="11" customFormat="1" ht="14.25">
      <c r="A4" s="135" t="s">
        <v>159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Q4" s="12"/>
      <c r="R4" s="13"/>
      <c r="S4" s="13"/>
    </row>
    <row r="5" spans="1:61" s="11" customFormat="1" ht="14.25">
      <c r="A5" s="135" t="s">
        <v>160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12"/>
      <c r="R5" s="13"/>
      <c r="S5" s="13"/>
    </row>
    <row r="6" spans="1:61" s="11" customFormat="1" ht="14.25">
      <c r="A6" s="13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Q6" s="12"/>
      <c r="R6" s="13"/>
      <c r="S6" s="13"/>
    </row>
    <row r="7" spans="1:61" ht="13.5" thickBot="1">
      <c r="E7" s="14"/>
      <c r="F7" s="14"/>
      <c r="G7" s="14"/>
      <c r="H7" s="14"/>
      <c r="I7" s="14"/>
      <c r="J7" s="263"/>
      <c r="K7" s="263"/>
      <c r="L7" s="263"/>
      <c r="M7" s="263"/>
      <c r="N7" s="262"/>
      <c r="O7" s="262"/>
    </row>
    <row r="8" spans="1:61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622</v>
      </c>
      <c r="I8" s="283"/>
      <c r="J8" s="244"/>
      <c r="K8" s="408"/>
      <c r="L8" s="408"/>
      <c r="M8" s="408"/>
      <c r="N8" s="408"/>
      <c r="O8" s="408"/>
      <c r="Q8" s="17"/>
      <c r="R8" s="18"/>
      <c r="S8" s="18"/>
    </row>
    <row r="9" spans="1:61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 s="264"/>
      <c r="K9" s="265"/>
      <c r="L9" s="265"/>
      <c r="M9" s="265"/>
      <c r="N9" s="265"/>
      <c r="O9" s="266"/>
      <c r="Q9" s="17"/>
      <c r="R9" s="18"/>
      <c r="S9" s="18"/>
    </row>
    <row r="10" spans="1:61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 s="264"/>
      <c r="K10" s="265"/>
      <c r="L10" s="265"/>
      <c r="M10" s="265"/>
      <c r="N10" s="265"/>
      <c r="O10" s="266"/>
      <c r="Q10" s="17"/>
      <c r="R10" s="18"/>
      <c r="S10" s="18"/>
    </row>
    <row r="11" spans="1:61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 s="264"/>
      <c r="K11" s="265"/>
      <c r="L11" s="265"/>
      <c r="M11" s="265"/>
      <c r="N11" s="265"/>
      <c r="O11" s="266"/>
      <c r="Q11" s="17"/>
      <c r="R11" s="18"/>
      <c r="S11" s="18"/>
    </row>
    <row r="12" spans="1:61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 s="264"/>
      <c r="K12" s="265"/>
      <c r="L12" s="265"/>
      <c r="M12" s="265"/>
      <c r="N12" s="265"/>
      <c r="O12" s="266"/>
      <c r="Q12" s="17"/>
      <c r="R12" s="18"/>
      <c r="S12" s="18"/>
    </row>
    <row r="13" spans="1:61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 s="204"/>
      <c r="K13" s="204"/>
      <c r="L13" s="204"/>
      <c r="M13" s="204"/>
      <c r="N13" s="204"/>
      <c r="O13" s="204"/>
      <c r="Q13" s="17"/>
      <c r="R13" s="18"/>
      <c r="S13" s="18"/>
    </row>
    <row r="14" spans="1:61" s="10" customFormat="1" ht="15" thickTop="1">
      <c r="A14" s="250"/>
      <c r="B14" s="411" t="s">
        <v>197</v>
      </c>
      <c r="C14" s="411"/>
      <c r="D14" s="411"/>
      <c r="E14" s="411"/>
      <c r="F14" s="414"/>
      <c r="G14" s="414"/>
      <c r="H14" s="409"/>
      <c r="I14" s="410"/>
      <c r="J14" s="198"/>
      <c r="K14" s="198"/>
      <c r="L14" s="198"/>
      <c r="M14" s="198"/>
      <c r="N14" s="198"/>
      <c r="O14" s="198"/>
      <c r="P14" s="4"/>
      <c r="Q14" s="4"/>
    </row>
    <row r="15" spans="1:61" s="136" customFormat="1">
      <c r="A15" s="236" t="s">
        <v>69</v>
      </c>
      <c r="B15" s="302" t="s">
        <v>194</v>
      </c>
      <c r="C15" s="302"/>
      <c r="D15" s="302"/>
      <c r="E15" s="302"/>
      <c r="F15" s="403" t="s">
        <v>7</v>
      </c>
      <c r="G15" s="403"/>
      <c r="H15" s="354">
        <v>12.35</v>
      </c>
      <c r="I15" s="355"/>
      <c r="J15" s="178"/>
      <c r="K15" s="178"/>
      <c r="L15" s="178"/>
      <c r="M15" s="178"/>
      <c r="N15" s="178"/>
      <c r="O15" s="178"/>
    </row>
    <row r="16" spans="1:61" s="9" customFormat="1" ht="14.25">
      <c r="A16" s="236"/>
      <c r="B16" s="357" t="s">
        <v>196</v>
      </c>
      <c r="C16" s="357"/>
      <c r="D16" s="357"/>
      <c r="E16" s="357"/>
      <c r="F16" s="403" t="s">
        <v>7</v>
      </c>
      <c r="G16" s="403"/>
      <c r="H16" s="354">
        <f>H15*1.15</f>
        <v>14.202499999999999</v>
      </c>
      <c r="I16" s="355"/>
      <c r="J16" s="178"/>
      <c r="K16" s="178"/>
      <c r="L16" s="178"/>
      <c r="M16" s="178"/>
      <c r="N16" s="178"/>
      <c r="O16" s="178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</row>
    <row r="17" spans="1:21" s="9" customFormat="1" ht="36" customHeight="1">
      <c r="A17" s="230"/>
      <c r="B17" s="405" t="s">
        <v>195</v>
      </c>
      <c r="C17" s="405"/>
      <c r="D17" s="405"/>
      <c r="E17" s="405"/>
      <c r="F17" s="295" t="s">
        <v>11</v>
      </c>
      <c r="G17" s="295"/>
      <c r="H17" s="275">
        <v>5</v>
      </c>
      <c r="I17" s="276"/>
      <c r="J17" s="178"/>
      <c r="K17" s="178"/>
      <c r="L17" s="178"/>
      <c r="M17" s="178"/>
      <c r="N17" s="178"/>
      <c r="O17" s="178"/>
    </row>
    <row r="18" spans="1:21" s="10" customFormat="1" ht="14.25">
      <c r="A18" s="236" t="s">
        <v>70</v>
      </c>
      <c r="B18" s="388" t="s">
        <v>198</v>
      </c>
      <c r="C18" s="388"/>
      <c r="D18" s="388"/>
      <c r="E18" s="388"/>
      <c r="F18" s="295" t="s">
        <v>7</v>
      </c>
      <c r="G18" s="295"/>
      <c r="H18" s="354">
        <f>H15</f>
        <v>12.35</v>
      </c>
      <c r="I18" s="355"/>
      <c r="J18" s="178"/>
      <c r="K18" s="178"/>
      <c r="L18" s="178"/>
      <c r="M18" s="178"/>
      <c r="N18" s="178"/>
      <c r="O18" s="178"/>
    </row>
    <row r="19" spans="1:21" s="9" customFormat="1" ht="14.25">
      <c r="A19" s="236"/>
      <c r="B19" s="405" t="s">
        <v>199</v>
      </c>
      <c r="C19" s="405"/>
      <c r="D19" s="405"/>
      <c r="E19" s="405"/>
      <c r="F19" s="382" t="s">
        <v>7</v>
      </c>
      <c r="G19" s="382"/>
      <c r="H19" s="377">
        <f>H18*1.05</f>
        <v>12.967499999999999</v>
      </c>
      <c r="I19" s="378"/>
      <c r="J19" s="178"/>
      <c r="K19" s="178"/>
      <c r="L19" s="178"/>
      <c r="M19" s="178"/>
      <c r="N19" s="178"/>
      <c r="O19" s="178"/>
    </row>
    <row r="20" spans="1:21" s="10" customFormat="1" ht="14.25">
      <c r="A20" s="236" t="s">
        <v>72</v>
      </c>
      <c r="B20" s="388" t="s">
        <v>540</v>
      </c>
      <c r="C20" s="388"/>
      <c r="D20" s="388"/>
      <c r="E20" s="388"/>
      <c r="F20" s="295" t="s">
        <v>7</v>
      </c>
      <c r="G20" s="295"/>
      <c r="H20" s="354">
        <f>H15</f>
        <v>12.35</v>
      </c>
      <c r="I20" s="355"/>
      <c r="J20" s="178"/>
      <c r="K20" s="178"/>
      <c r="L20" s="178"/>
      <c r="M20" s="178"/>
      <c r="N20" s="178"/>
      <c r="O20" s="178"/>
    </row>
    <row r="21" spans="1:21" s="9" customFormat="1" ht="14.25">
      <c r="A21" s="236"/>
      <c r="B21" s="357" t="s">
        <v>129</v>
      </c>
      <c r="C21" s="357"/>
      <c r="D21" s="357"/>
      <c r="E21" s="357"/>
      <c r="F21" s="382" t="s">
        <v>7</v>
      </c>
      <c r="G21" s="382"/>
      <c r="H21" s="377">
        <f>H20*1.15</f>
        <v>14.202499999999999</v>
      </c>
      <c r="I21" s="378"/>
      <c r="J21" s="178"/>
      <c r="K21" s="178"/>
      <c r="L21" s="178"/>
      <c r="M21" s="178"/>
      <c r="N21" s="178"/>
      <c r="O21" s="178"/>
    </row>
    <row r="22" spans="1:21" s="10" customFormat="1" ht="14.25">
      <c r="A22" s="236" t="s">
        <v>73</v>
      </c>
      <c r="B22" s="388" t="s">
        <v>200</v>
      </c>
      <c r="C22" s="388"/>
      <c r="D22" s="388"/>
      <c r="E22" s="388"/>
      <c r="F22" s="295" t="s">
        <v>7</v>
      </c>
      <c r="G22" s="295"/>
      <c r="H22" s="354">
        <f>H18</f>
        <v>12.35</v>
      </c>
      <c r="I22" s="355"/>
      <c r="J22" s="178"/>
      <c r="K22" s="178"/>
      <c r="L22" s="178"/>
      <c r="M22" s="178"/>
      <c r="N22" s="178"/>
      <c r="O22" s="178"/>
    </row>
    <row r="23" spans="1:21" s="9" customFormat="1" ht="14.25">
      <c r="A23" s="236"/>
      <c r="B23" s="405" t="s">
        <v>151</v>
      </c>
      <c r="C23" s="405"/>
      <c r="D23" s="405"/>
      <c r="E23" s="405"/>
      <c r="F23" s="382" t="s">
        <v>7</v>
      </c>
      <c r="G23" s="382"/>
      <c r="H23" s="377">
        <f>H22*1.05</f>
        <v>12.967499999999999</v>
      </c>
      <c r="I23" s="378"/>
      <c r="J23" s="178"/>
      <c r="K23" s="178"/>
      <c r="L23" s="178"/>
      <c r="M23" s="178"/>
      <c r="N23" s="178"/>
      <c r="O23" s="178"/>
    </row>
    <row r="24" spans="1:21" s="10" customFormat="1" ht="24" customHeight="1">
      <c r="A24" s="236" t="s">
        <v>74</v>
      </c>
      <c r="B24" s="302" t="s">
        <v>201</v>
      </c>
      <c r="C24" s="302"/>
      <c r="D24" s="302"/>
      <c r="E24" s="302"/>
      <c r="F24" s="295" t="s">
        <v>7</v>
      </c>
      <c r="G24" s="295"/>
      <c r="H24" s="354">
        <f>H15</f>
        <v>12.35</v>
      </c>
      <c r="I24" s="355"/>
      <c r="J24" s="178"/>
      <c r="K24" s="178"/>
      <c r="L24" s="178"/>
      <c r="M24" s="178"/>
      <c r="N24" s="178"/>
      <c r="O24" s="178"/>
    </row>
    <row r="25" spans="1:21" s="9" customFormat="1" ht="14.25">
      <c r="A25" s="236"/>
      <c r="B25" s="405" t="s">
        <v>202</v>
      </c>
      <c r="C25" s="405"/>
      <c r="D25" s="405"/>
      <c r="E25" s="405"/>
      <c r="F25" s="382" t="s">
        <v>7</v>
      </c>
      <c r="G25" s="382"/>
      <c r="H25" s="377">
        <f>H24*1.05/2</f>
        <v>6.4837499999999997</v>
      </c>
      <c r="I25" s="378"/>
      <c r="J25" s="178"/>
      <c r="K25" s="178"/>
      <c r="L25" s="178"/>
      <c r="M25" s="178"/>
      <c r="N25" s="178"/>
      <c r="O25" s="178"/>
    </row>
    <row r="26" spans="1:21" s="9" customFormat="1" ht="14.25">
      <c r="A26" s="236"/>
      <c r="B26" s="405" t="s">
        <v>199</v>
      </c>
      <c r="C26" s="405"/>
      <c r="D26" s="405"/>
      <c r="E26" s="405"/>
      <c r="F26" s="382" t="s">
        <v>7</v>
      </c>
      <c r="G26" s="382"/>
      <c r="H26" s="377">
        <f>H24*1.05</f>
        <v>12.967499999999999</v>
      </c>
      <c r="I26" s="378"/>
      <c r="J26" s="178"/>
      <c r="K26" s="178"/>
      <c r="L26" s="178"/>
      <c r="M26" s="178"/>
      <c r="N26" s="178"/>
      <c r="O26" s="178"/>
    </row>
    <row r="27" spans="1:21" s="10" customFormat="1" ht="14.25">
      <c r="A27" s="236"/>
      <c r="B27" s="387" t="s">
        <v>29</v>
      </c>
      <c r="C27" s="387"/>
      <c r="D27" s="387"/>
      <c r="E27" s="387"/>
      <c r="F27" s="381" t="s">
        <v>17</v>
      </c>
      <c r="G27" s="381"/>
      <c r="H27" s="373">
        <v>1</v>
      </c>
      <c r="I27" s="374"/>
      <c r="J27" s="198"/>
      <c r="K27" s="198"/>
      <c r="L27" s="198"/>
      <c r="M27" s="198"/>
      <c r="N27" s="198"/>
      <c r="O27" s="198"/>
    </row>
    <row r="28" spans="1:21" s="5" customFormat="1" ht="14.25">
      <c r="A28" s="236"/>
      <c r="B28" s="357" t="s">
        <v>210</v>
      </c>
      <c r="C28" s="357"/>
      <c r="D28" s="357"/>
      <c r="E28" s="357"/>
      <c r="F28" s="416" t="s">
        <v>13</v>
      </c>
      <c r="G28" s="416"/>
      <c r="H28" s="354">
        <f>H24</f>
        <v>12.35</v>
      </c>
      <c r="I28" s="355"/>
      <c r="J28" s="198"/>
      <c r="K28" s="198"/>
      <c r="L28" s="198"/>
      <c r="M28" s="198"/>
      <c r="N28" s="198"/>
      <c r="O28" s="198"/>
    </row>
    <row r="29" spans="1:21" s="35" customFormat="1">
      <c r="A29" s="247" t="s">
        <v>110</v>
      </c>
      <c r="B29" s="388" t="s">
        <v>137</v>
      </c>
      <c r="C29" s="388"/>
      <c r="D29" s="388"/>
      <c r="E29" s="388"/>
      <c r="F29" s="381" t="s">
        <v>7</v>
      </c>
      <c r="G29" s="381"/>
      <c r="H29" s="421">
        <f>H24</f>
        <v>12.35</v>
      </c>
      <c r="I29" s="422"/>
      <c r="J29" s="178"/>
      <c r="K29" s="178"/>
      <c r="L29" s="178"/>
      <c r="M29" s="178"/>
      <c r="N29" s="178"/>
      <c r="O29" s="178"/>
      <c r="P29" s="172"/>
      <c r="Q29" s="133"/>
      <c r="R29" s="133"/>
      <c r="S29" s="133"/>
      <c r="T29" s="133"/>
      <c r="U29" s="133"/>
    </row>
    <row r="30" spans="1:21" s="174" customFormat="1" ht="12" customHeight="1">
      <c r="A30" s="247" t="s">
        <v>205</v>
      </c>
      <c r="B30" s="388" t="s">
        <v>138</v>
      </c>
      <c r="C30" s="388"/>
      <c r="D30" s="388"/>
      <c r="E30" s="388"/>
      <c r="F30" s="418" t="s">
        <v>7</v>
      </c>
      <c r="G30" s="418"/>
      <c r="H30" s="367">
        <f>H29</f>
        <v>12.35</v>
      </c>
      <c r="I30" s="368"/>
      <c r="J30" s="178"/>
      <c r="K30" s="178"/>
      <c r="L30" s="178"/>
      <c r="M30" s="178"/>
      <c r="N30" s="178"/>
      <c r="O30" s="178"/>
      <c r="P30" s="173"/>
      <c r="Q30" s="173"/>
    </row>
    <row r="31" spans="1:21" s="174" customFormat="1" ht="12" customHeight="1">
      <c r="A31" s="247"/>
      <c r="B31" s="413" t="s">
        <v>120</v>
      </c>
      <c r="C31" s="413"/>
      <c r="D31" s="413"/>
      <c r="E31" s="413"/>
      <c r="F31" s="381" t="s">
        <v>28</v>
      </c>
      <c r="G31" s="381"/>
      <c r="H31" s="425">
        <f>ROUND(H30*0.3,1)</f>
        <v>3.7</v>
      </c>
      <c r="I31" s="426"/>
      <c r="J31" s="178"/>
      <c r="K31" s="178"/>
      <c r="L31" s="178"/>
      <c r="M31" s="178"/>
      <c r="N31" s="178"/>
      <c r="O31" s="178"/>
      <c r="P31" s="173"/>
      <c r="Q31" s="173"/>
    </row>
    <row r="32" spans="1:21" s="174" customFormat="1" ht="12" customHeight="1">
      <c r="A32" s="247" t="s">
        <v>206</v>
      </c>
      <c r="B32" s="388" t="s">
        <v>121</v>
      </c>
      <c r="C32" s="388"/>
      <c r="D32" s="388"/>
      <c r="E32" s="388"/>
      <c r="F32" s="418" t="s">
        <v>7</v>
      </c>
      <c r="G32" s="418"/>
      <c r="H32" s="367">
        <f>H30</f>
        <v>12.35</v>
      </c>
      <c r="I32" s="368"/>
      <c r="J32" s="178"/>
      <c r="K32" s="178"/>
      <c r="L32" s="178"/>
      <c r="M32" s="178"/>
      <c r="N32" s="178"/>
      <c r="O32" s="178"/>
      <c r="P32" s="173"/>
      <c r="Q32" s="173"/>
    </row>
    <row r="33" spans="1:30" s="171" customFormat="1" ht="14.25">
      <c r="A33" s="242"/>
      <c r="B33" s="412" t="s">
        <v>203</v>
      </c>
      <c r="C33" s="412"/>
      <c r="D33" s="412"/>
      <c r="E33" s="412"/>
      <c r="F33" s="417" t="s">
        <v>7</v>
      </c>
      <c r="G33" s="417"/>
      <c r="H33" s="419">
        <f>ROUND(H32*1.15*1,1)</f>
        <v>14.2</v>
      </c>
      <c r="I33" s="420"/>
      <c r="J33" s="178"/>
      <c r="K33" s="178"/>
      <c r="L33" s="178"/>
      <c r="M33" s="178"/>
      <c r="N33" s="178"/>
      <c r="O33" s="178"/>
      <c r="P33" s="175"/>
      <c r="Q33" s="175"/>
    </row>
    <row r="34" spans="1:30" s="171" customFormat="1" ht="14.25">
      <c r="A34" s="242"/>
      <c r="B34" s="412" t="s">
        <v>204</v>
      </c>
      <c r="C34" s="412"/>
      <c r="D34" s="412"/>
      <c r="E34" s="412"/>
      <c r="F34" s="417" t="s">
        <v>7</v>
      </c>
      <c r="G34" s="417"/>
      <c r="H34" s="419">
        <f>H33</f>
        <v>14.2</v>
      </c>
      <c r="I34" s="420"/>
      <c r="J34" s="178"/>
      <c r="K34" s="178"/>
      <c r="L34" s="178"/>
      <c r="M34" s="178"/>
      <c r="N34" s="178"/>
      <c r="O34" s="178"/>
      <c r="P34" s="175"/>
      <c r="Q34" s="175"/>
    </row>
    <row r="35" spans="1:30" s="174" customFormat="1" ht="12" customHeight="1">
      <c r="A35" s="247"/>
      <c r="B35" s="413" t="s">
        <v>123</v>
      </c>
      <c r="C35" s="413"/>
      <c r="D35" s="413"/>
      <c r="E35" s="413"/>
      <c r="F35" s="381" t="s">
        <v>122</v>
      </c>
      <c r="G35" s="381"/>
      <c r="H35" s="421">
        <f>ROUND(SUM(H33:H34)/100,1)</f>
        <v>0.3</v>
      </c>
      <c r="I35" s="422"/>
      <c r="J35" s="178"/>
      <c r="K35" s="178"/>
      <c r="L35" s="178"/>
      <c r="M35" s="178"/>
      <c r="N35" s="178"/>
      <c r="O35" s="178"/>
      <c r="P35" s="173"/>
      <c r="Q35" s="173"/>
    </row>
    <row r="36" spans="1:30">
      <c r="A36" s="247" t="s">
        <v>111</v>
      </c>
      <c r="B36" s="301" t="s">
        <v>207</v>
      </c>
      <c r="C36" s="301"/>
      <c r="D36" s="301"/>
      <c r="E36" s="301"/>
      <c r="F36" s="381" t="s">
        <v>31</v>
      </c>
      <c r="G36" s="381"/>
      <c r="H36" s="423">
        <f>6.5+3.8</f>
        <v>10.3</v>
      </c>
      <c r="I36" s="424"/>
      <c r="J36" s="178"/>
      <c r="K36" s="178"/>
      <c r="L36" s="178"/>
      <c r="M36" s="178"/>
      <c r="N36" s="178"/>
      <c r="O36" s="178"/>
      <c r="P36" s="14"/>
      <c r="Q36" s="166"/>
      <c r="R36" s="147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s="149" customFormat="1">
      <c r="A37" s="236" t="s">
        <v>211</v>
      </c>
      <c r="B37" s="302" t="s">
        <v>208</v>
      </c>
      <c r="C37" s="302"/>
      <c r="D37" s="302"/>
      <c r="E37" s="302"/>
      <c r="F37" s="295" t="s">
        <v>13</v>
      </c>
      <c r="G37" s="295"/>
      <c r="H37" s="367">
        <f>ROUND(SUM(H38:H39)/1.1,2)</f>
        <v>0.09</v>
      </c>
      <c r="I37" s="368"/>
      <c r="J37" s="178"/>
      <c r="K37" s="178"/>
      <c r="L37" s="178"/>
      <c r="M37" s="178"/>
      <c r="N37" s="178"/>
      <c r="O37" s="178"/>
    </row>
    <row r="38" spans="1:30" s="5" customFormat="1" ht="14.25">
      <c r="A38" s="236"/>
      <c r="B38" s="357" t="s">
        <v>212</v>
      </c>
      <c r="C38" s="357"/>
      <c r="D38" s="357"/>
      <c r="E38" s="357"/>
      <c r="F38" s="416" t="s">
        <v>13</v>
      </c>
      <c r="G38" s="416"/>
      <c r="H38" s="354">
        <f>(0.05*0.15*0.8*11)*1.1</f>
        <v>7.2600000000000012E-2</v>
      </c>
      <c r="I38" s="355"/>
      <c r="J38" s="178"/>
      <c r="K38" s="178"/>
      <c r="L38" s="178"/>
      <c r="M38" s="178"/>
      <c r="N38" s="178"/>
      <c r="O38" s="178"/>
    </row>
    <row r="39" spans="1:30" s="5" customFormat="1" ht="14.25">
      <c r="A39" s="236"/>
      <c r="B39" s="357" t="s">
        <v>213</v>
      </c>
      <c r="C39" s="357"/>
      <c r="D39" s="357"/>
      <c r="E39" s="357"/>
      <c r="F39" s="416" t="s">
        <v>13</v>
      </c>
      <c r="G39" s="416"/>
      <c r="H39" s="354">
        <f>10.3*1.1*0.05*0.05</f>
        <v>2.8325000000000006E-2</v>
      </c>
      <c r="I39" s="355"/>
      <c r="J39" s="178"/>
      <c r="K39" s="178"/>
      <c r="L39" s="178"/>
      <c r="M39" s="178"/>
      <c r="N39" s="178"/>
      <c r="O39" s="178"/>
    </row>
    <row r="40" spans="1:30" s="10" customFormat="1" ht="14.25">
      <c r="A40" s="236"/>
      <c r="B40" s="387" t="s">
        <v>209</v>
      </c>
      <c r="C40" s="387"/>
      <c r="D40" s="387"/>
      <c r="E40" s="387"/>
      <c r="F40" s="381" t="s">
        <v>7</v>
      </c>
      <c r="G40" s="381"/>
      <c r="H40" s="367">
        <f>H37*1.401</f>
        <v>0.12609000000000001</v>
      </c>
      <c r="I40" s="368"/>
      <c r="J40" s="198"/>
      <c r="K40" s="198"/>
      <c r="L40" s="198"/>
      <c r="M40" s="198"/>
      <c r="N40" s="198"/>
      <c r="O40" s="198"/>
      <c r="Q40" s="146"/>
    </row>
    <row r="41" spans="1:30" s="10" customFormat="1" ht="14.25">
      <c r="A41" s="236"/>
      <c r="B41" s="387" t="s">
        <v>29</v>
      </c>
      <c r="C41" s="387"/>
      <c r="D41" s="387"/>
      <c r="E41" s="387"/>
      <c r="F41" s="381" t="s">
        <v>17</v>
      </c>
      <c r="G41" s="381"/>
      <c r="H41" s="373">
        <v>1</v>
      </c>
      <c r="I41" s="374"/>
      <c r="J41" s="198"/>
      <c r="K41" s="198"/>
      <c r="L41" s="198"/>
      <c r="M41" s="198"/>
      <c r="N41" s="198"/>
      <c r="O41" s="198"/>
    </row>
    <row r="42" spans="1:30" s="5" customFormat="1" ht="14.25">
      <c r="A42" s="236"/>
      <c r="B42" s="357" t="s">
        <v>210</v>
      </c>
      <c r="C42" s="357"/>
      <c r="D42" s="357"/>
      <c r="E42" s="357"/>
      <c r="F42" s="416" t="s">
        <v>13</v>
      </c>
      <c r="G42" s="416"/>
      <c r="H42" s="354">
        <f>H37</f>
        <v>0.09</v>
      </c>
      <c r="I42" s="355"/>
      <c r="J42" s="178"/>
      <c r="K42" s="178"/>
      <c r="L42" s="178"/>
      <c r="M42" s="178"/>
      <c r="N42" s="178"/>
      <c r="O42" s="178"/>
    </row>
    <row r="43" spans="1:30" s="10" customFormat="1" ht="14.25">
      <c r="A43" s="236" t="s">
        <v>215</v>
      </c>
      <c r="B43" s="388" t="s">
        <v>216</v>
      </c>
      <c r="C43" s="388"/>
      <c r="D43" s="388"/>
      <c r="E43" s="388"/>
      <c r="F43" s="381" t="s">
        <v>31</v>
      </c>
      <c r="G43" s="381"/>
      <c r="H43" s="365">
        <f>H36</f>
        <v>10.3</v>
      </c>
      <c r="I43" s="366"/>
      <c r="J43" s="140"/>
      <c r="K43" s="140"/>
      <c r="L43" s="140"/>
      <c r="M43" s="140"/>
      <c r="N43" s="140"/>
      <c r="O43" s="140"/>
    </row>
    <row r="44" spans="1:30" s="10" customFormat="1" ht="14.25">
      <c r="A44" s="236"/>
      <c r="B44" s="387" t="s">
        <v>217</v>
      </c>
      <c r="C44" s="387"/>
      <c r="D44" s="387"/>
      <c r="E44" s="387"/>
      <c r="F44" s="417" t="s">
        <v>7</v>
      </c>
      <c r="G44" s="417"/>
      <c r="H44" s="367">
        <f>ROUND(H43*0.2*1.1,2)</f>
        <v>2.27</v>
      </c>
      <c r="I44" s="368"/>
      <c r="J44" s="140"/>
      <c r="K44" s="140"/>
      <c r="L44" s="140"/>
      <c r="M44" s="140"/>
      <c r="N44" s="140"/>
      <c r="O44" s="140"/>
    </row>
    <row r="45" spans="1:30" s="14" customFormat="1">
      <c r="A45" s="236"/>
      <c r="B45" s="387" t="s">
        <v>218</v>
      </c>
      <c r="C45" s="387"/>
      <c r="D45" s="387"/>
      <c r="E45" s="387"/>
      <c r="F45" s="381" t="s">
        <v>214</v>
      </c>
      <c r="G45" s="381"/>
      <c r="H45" s="367">
        <f>ROUND(H43/0.35/100,2)</f>
        <v>0.28999999999999998</v>
      </c>
      <c r="I45" s="368"/>
      <c r="J45" s="198"/>
      <c r="K45" s="198"/>
      <c r="L45" s="198"/>
      <c r="M45" s="198"/>
      <c r="N45" s="198"/>
      <c r="O45" s="198"/>
      <c r="Q45" s="187"/>
    </row>
    <row r="46" spans="1:30">
      <c r="A46" s="247" t="s">
        <v>219</v>
      </c>
      <c r="B46" s="301" t="s">
        <v>139</v>
      </c>
      <c r="C46" s="301"/>
      <c r="D46" s="301"/>
      <c r="E46" s="301"/>
      <c r="F46" s="381" t="s">
        <v>31</v>
      </c>
      <c r="G46" s="381"/>
      <c r="H46" s="423">
        <v>10.3</v>
      </c>
      <c r="I46" s="424"/>
      <c r="J46" s="178"/>
      <c r="K46" s="178"/>
      <c r="L46" s="178"/>
      <c r="M46" s="178"/>
      <c r="N46" s="178"/>
      <c r="O46" s="178"/>
      <c r="P46" s="14"/>
      <c r="Q46" s="166"/>
      <c r="R46" s="147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s="136" customFormat="1">
      <c r="A47" s="248"/>
      <c r="B47" s="357" t="s">
        <v>220</v>
      </c>
      <c r="C47" s="357"/>
      <c r="D47" s="357"/>
      <c r="E47" s="357"/>
      <c r="F47" s="381" t="s">
        <v>31</v>
      </c>
      <c r="G47" s="381"/>
      <c r="H47" s="429">
        <f>ROUND(H46*1.15,2)</f>
        <v>11.85</v>
      </c>
      <c r="I47" s="430"/>
      <c r="J47" s="178"/>
      <c r="K47" s="178"/>
      <c r="L47" s="178"/>
      <c r="M47" s="178"/>
      <c r="N47" s="178"/>
      <c r="O47" s="178"/>
      <c r="P47" s="148"/>
      <c r="Q47" s="168"/>
      <c r="R47" s="167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</row>
    <row r="48" spans="1:30">
      <c r="A48" s="248"/>
      <c r="B48" s="387" t="s">
        <v>101</v>
      </c>
      <c r="C48" s="387"/>
      <c r="D48" s="387"/>
      <c r="E48" s="387"/>
      <c r="F48" s="415" t="s">
        <v>16</v>
      </c>
      <c r="G48" s="415"/>
      <c r="H48" s="431">
        <f>ROUND(4.5*H47,0)</f>
        <v>53</v>
      </c>
      <c r="I48" s="432"/>
      <c r="J48" s="178"/>
      <c r="K48" s="178"/>
      <c r="L48" s="178"/>
      <c r="M48" s="178"/>
      <c r="N48" s="178"/>
      <c r="O48" s="178"/>
      <c r="P48" s="14"/>
      <c r="Q48" s="166"/>
      <c r="R48" s="147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1" s="10" customFormat="1" ht="14.25">
      <c r="A49" s="236" t="s">
        <v>118</v>
      </c>
      <c r="B49" s="388" t="s">
        <v>221</v>
      </c>
      <c r="C49" s="388"/>
      <c r="D49" s="388"/>
      <c r="E49" s="388"/>
      <c r="F49" s="381" t="s">
        <v>31</v>
      </c>
      <c r="G49" s="381"/>
      <c r="H49" s="365">
        <f>H52+H58</f>
        <v>9.1999999999999993</v>
      </c>
      <c r="I49" s="366"/>
      <c r="J49" s="140"/>
      <c r="K49" s="140"/>
      <c r="L49" s="140"/>
      <c r="M49" s="140"/>
      <c r="N49" s="140"/>
      <c r="O49" s="140"/>
    </row>
    <row r="50" spans="1:31" s="10" customFormat="1" ht="14.25">
      <c r="A50" s="236"/>
      <c r="B50" s="387" t="s">
        <v>222</v>
      </c>
      <c r="C50" s="387"/>
      <c r="D50" s="387"/>
      <c r="E50" s="387"/>
      <c r="F50" s="381" t="s">
        <v>16</v>
      </c>
      <c r="G50" s="381"/>
      <c r="H50" s="373">
        <f>ROUND(H52/0.6+1,0)</f>
        <v>12</v>
      </c>
      <c r="I50" s="374"/>
      <c r="J50" s="140"/>
      <c r="K50" s="140"/>
      <c r="L50" s="140"/>
      <c r="M50" s="140"/>
      <c r="N50" s="140"/>
      <c r="O50" s="140"/>
    </row>
    <row r="51" spans="1:31" s="10" customFormat="1" ht="14.25">
      <c r="A51" s="236"/>
      <c r="B51" s="387" t="s">
        <v>223</v>
      </c>
      <c r="C51" s="387"/>
      <c r="D51" s="387"/>
      <c r="E51" s="387"/>
      <c r="F51" s="381" t="s">
        <v>31</v>
      </c>
      <c r="G51" s="381"/>
      <c r="H51" s="365">
        <v>6.5</v>
      </c>
      <c r="I51" s="366"/>
      <c r="J51" s="140"/>
      <c r="K51" s="140"/>
      <c r="L51" s="140"/>
      <c r="M51" s="140"/>
      <c r="N51" s="140"/>
      <c r="O51" s="140"/>
      <c r="P51" s="14"/>
      <c r="Q51" s="14"/>
    </row>
    <row r="52" spans="1:31" s="10" customFormat="1" ht="14.25">
      <c r="A52" s="236"/>
      <c r="B52" s="387" t="s">
        <v>224</v>
      </c>
      <c r="C52" s="387"/>
      <c r="D52" s="387"/>
      <c r="E52" s="387"/>
      <c r="F52" s="381" t="s">
        <v>31</v>
      </c>
      <c r="G52" s="381"/>
      <c r="H52" s="365">
        <f>H51</f>
        <v>6.5</v>
      </c>
      <c r="I52" s="366"/>
      <c r="J52" s="140"/>
      <c r="K52" s="140"/>
      <c r="L52" s="140"/>
      <c r="M52" s="140"/>
      <c r="N52" s="140"/>
      <c r="O52" s="140"/>
      <c r="P52" s="14"/>
      <c r="Q52"/>
      <c r="R52"/>
      <c r="S52"/>
    </row>
    <row r="53" spans="1:31" s="10" customFormat="1" ht="14.25">
      <c r="A53" s="236"/>
      <c r="B53" s="387" t="s">
        <v>225</v>
      </c>
      <c r="C53" s="387"/>
      <c r="D53" s="387"/>
      <c r="E53" s="387"/>
      <c r="F53" s="381" t="s">
        <v>16</v>
      </c>
      <c r="G53" s="381"/>
      <c r="H53" s="373">
        <v>2</v>
      </c>
      <c r="I53" s="374"/>
      <c r="J53" s="140"/>
      <c r="K53" s="140"/>
      <c r="L53" s="140"/>
      <c r="M53" s="140"/>
      <c r="N53" s="140"/>
      <c r="O53" s="140"/>
      <c r="P53" s="14"/>
      <c r="Q53"/>
      <c r="R53"/>
      <c r="S53"/>
    </row>
    <row r="54" spans="1:31" s="10" customFormat="1" ht="14.25">
      <c r="A54" s="236"/>
      <c r="B54" s="387" t="s">
        <v>226</v>
      </c>
      <c r="C54" s="387"/>
      <c r="D54" s="387"/>
      <c r="E54" s="387"/>
      <c r="F54" s="381" t="s">
        <v>16</v>
      </c>
      <c r="G54" s="381"/>
      <c r="H54" s="373">
        <v>1</v>
      </c>
      <c r="I54" s="374"/>
      <c r="J54" s="140"/>
      <c r="K54" s="140"/>
      <c r="L54" s="140"/>
      <c r="M54" s="140"/>
      <c r="N54" s="140"/>
      <c r="O54" s="140"/>
      <c r="P54" s="14"/>
      <c r="Q54"/>
      <c r="R54"/>
      <c r="S54"/>
    </row>
    <row r="55" spans="1:31" s="10" customFormat="1" ht="14.25">
      <c r="A55" s="236"/>
      <c r="B55" s="387" t="s">
        <v>227</v>
      </c>
      <c r="C55" s="387"/>
      <c r="D55" s="387"/>
      <c r="E55" s="387"/>
      <c r="F55" s="381" t="s">
        <v>16</v>
      </c>
      <c r="G55" s="381"/>
      <c r="H55" s="373">
        <f>ROUND(H58*0.76+1,0)</f>
        <v>3</v>
      </c>
      <c r="I55" s="374"/>
      <c r="J55" s="140"/>
      <c r="K55" s="140"/>
      <c r="L55" s="140"/>
      <c r="M55" s="140"/>
      <c r="N55" s="140"/>
      <c r="O55" s="140"/>
      <c r="P55" s="14"/>
      <c r="Q55"/>
      <c r="R55"/>
      <c r="S55"/>
    </row>
    <row r="56" spans="1:31" s="10" customFormat="1" ht="14.25">
      <c r="A56" s="236"/>
      <c r="B56" s="387" t="s">
        <v>228</v>
      </c>
      <c r="C56" s="387"/>
      <c r="D56" s="387"/>
      <c r="E56" s="387"/>
      <c r="F56" s="381" t="s">
        <v>16</v>
      </c>
      <c r="G56" s="381"/>
      <c r="H56" s="373">
        <v>1</v>
      </c>
      <c r="I56" s="374"/>
      <c r="J56" s="140"/>
      <c r="K56" s="140"/>
      <c r="L56" s="140"/>
      <c r="M56" s="140"/>
      <c r="N56" s="140"/>
      <c r="O56" s="140"/>
      <c r="P56" s="14"/>
      <c r="Q56"/>
      <c r="R56"/>
      <c r="S56"/>
    </row>
    <row r="57" spans="1:31" s="10" customFormat="1" ht="14.25">
      <c r="A57" s="236"/>
      <c r="B57" s="387" t="s">
        <v>229</v>
      </c>
      <c r="C57" s="387"/>
      <c r="D57" s="387"/>
      <c r="E57" s="387"/>
      <c r="F57" s="381" t="s">
        <v>16</v>
      </c>
      <c r="G57" s="381"/>
      <c r="H57" s="373">
        <v>2</v>
      </c>
      <c r="I57" s="374"/>
      <c r="J57" s="140"/>
      <c r="K57" s="140"/>
      <c r="L57" s="140"/>
      <c r="M57" s="140"/>
      <c r="N57" s="140"/>
      <c r="O57" s="140"/>
      <c r="P57" s="14"/>
      <c r="Q57"/>
      <c r="R57"/>
      <c r="S57"/>
    </row>
    <row r="58" spans="1:31" s="10" customFormat="1" ht="14.25">
      <c r="A58" s="236"/>
      <c r="B58" s="387" t="s">
        <v>230</v>
      </c>
      <c r="C58" s="387"/>
      <c r="D58" s="387"/>
      <c r="E58" s="387"/>
      <c r="F58" s="381" t="s">
        <v>31</v>
      </c>
      <c r="G58" s="381"/>
      <c r="H58" s="365">
        <v>2.7</v>
      </c>
      <c r="I58" s="366"/>
      <c r="J58" s="140"/>
      <c r="K58" s="140"/>
      <c r="L58" s="140"/>
      <c r="M58" s="140"/>
      <c r="N58" s="140"/>
      <c r="O58" s="140"/>
      <c r="Q58"/>
      <c r="R58"/>
      <c r="S58"/>
    </row>
    <row r="59" spans="1:31" s="14" customFormat="1">
      <c r="A59" s="236"/>
      <c r="B59" s="387" t="s">
        <v>231</v>
      </c>
      <c r="C59" s="387"/>
      <c r="D59" s="387"/>
      <c r="E59" s="387"/>
      <c r="F59" s="381" t="s">
        <v>16</v>
      </c>
      <c r="G59" s="381"/>
      <c r="H59" s="373">
        <f>ROUND(H49*6,0)</f>
        <v>55</v>
      </c>
      <c r="I59" s="374"/>
      <c r="J59" s="140"/>
      <c r="K59" s="140"/>
      <c r="L59" s="140"/>
      <c r="M59" s="140"/>
      <c r="N59" s="140"/>
      <c r="O59" s="140"/>
      <c r="Q59"/>
      <c r="R59"/>
      <c r="S59"/>
    </row>
    <row r="60" spans="1:31" s="14" customFormat="1">
      <c r="A60" s="236"/>
      <c r="B60" s="387" t="s">
        <v>232</v>
      </c>
      <c r="C60" s="387"/>
      <c r="D60" s="387"/>
      <c r="E60" s="387"/>
      <c r="F60" s="381" t="s">
        <v>233</v>
      </c>
      <c r="G60" s="381"/>
      <c r="H60" s="365">
        <v>8</v>
      </c>
      <c r="I60" s="366"/>
      <c r="J60" s="140"/>
      <c r="K60" s="140"/>
      <c r="L60" s="140"/>
      <c r="M60" s="140"/>
      <c r="N60" s="140"/>
      <c r="O60" s="140"/>
      <c r="Q60"/>
      <c r="R60"/>
      <c r="S60"/>
    </row>
    <row r="61" spans="1:31" s="10" customFormat="1" ht="24" customHeight="1" thickBot="1">
      <c r="A61" s="249" t="s">
        <v>126</v>
      </c>
      <c r="B61" s="297" t="s">
        <v>32</v>
      </c>
      <c r="C61" s="297"/>
      <c r="D61" s="297"/>
      <c r="E61" s="297"/>
      <c r="F61" s="296" t="s">
        <v>23</v>
      </c>
      <c r="G61" s="296"/>
      <c r="H61" s="427">
        <v>1</v>
      </c>
      <c r="I61" s="428"/>
      <c r="J61" s="178"/>
      <c r="K61" s="178"/>
      <c r="L61" s="178"/>
      <c r="M61" s="178"/>
      <c r="N61" s="178"/>
      <c r="O61" s="178"/>
    </row>
    <row r="62" spans="1:31" s="11" customFormat="1" ht="14.25">
      <c r="A62"/>
      <c r="B62"/>
      <c r="C62"/>
      <c r="D62"/>
      <c r="E62" s="205"/>
      <c r="F62" s="205"/>
      <c r="G62" s="205"/>
      <c r="H62" s="205"/>
      <c r="I62" s="205"/>
      <c r="J62" s="205"/>
      <c r="K62" s="206"/>
      <c r="L62" s="206"/>
      <c r="M62" s="206"/>
      <c r="N62" s="206"/>
      <c r="O62" s="206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s="11" customFormat="1" ht="14.25">
      <c r="A63"/>
      <c r="B63"/>
      <c r="C63"/>
      <c r="D63"/>
      <c r="E63" s="187"/>
      <c r="F63" s="187"/>
      <c r="G63" s="187"/>
      <c r="H63" s="187"/>
      <c r="I63" s="187"/>
      <c r="J63" s="187"/>
      <c r="K63" s="207"/>
      <c r="L63" s="208"/>
      <c r="M63" s="208"/>
      <c r="N63" s="208"/>
      <c r="O63" s="208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s="11" customFormat="1" ht="14.25">
      <c r="A64"/>
      <c r="B64"/>
      <c r="C64"/>
      <c r="D64"/>
      <c r="E64" s="14"/>
      <c r="F64" s="14"/>
      <c r="G64" s="14"/>
      <c r="H64" s="14"/>
      <c r="I64" s="14"/>
      <c r="J64" s="14"/>
      <c r="K64" s="33"/>
      <c r="L64" s="33"/>
      <c r="M64" s="33"/>
      <c r="N64" s="33"/>
      <c r="O64" s="33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2:31" s="11" customFormat="1" ht="14.25">
      <c r="B65" s="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21"/>
      <c r="R65" s="22"/>
      <c r="S65" s="22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2:31" s="11" customFormat="1" ht="14.25">
      <c r="B66" s="55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21"/>
      <c r="R66" s="22"/>
      <c r="S66" s="22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2:31" s="11" customFormat="1" ht="14.25">
      <c r="B67" s="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21"/>
      <c r="R67" s="22"/>
      <c r="S67" s="22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2:31" s="11" customFormat="1" ht="14.25">
      <c r="B68" s="169"/>
      <c r="C68" s="16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21"/>
      <c r="R68" s="22"/>
      <c r="S68" s="22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2:31" s="11" customFormat="1" ht="14.25"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21"/>
      <c r="R69" s="22"/>
      <c r="S69" s="22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2:31" s="11" customFormat="1" ht="14.25"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21"/>
      <c r="R70" s="22"/>
      <c r="S70" s="22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2:31"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7"/>
      <c r="R71" s="18"/>
      <c r="S71" s="18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2:31"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7"/>
      <c r="R72" s="18"/>
      <c r="S72" s="1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2:31"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7"/>
      <c r="R73" s="18"/>
      <c r="S73" s="1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2:31"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7"/>
      <c r="R74" s="18"/>
      <c r="S74" s="1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2:31"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7"/>
      <c r="R75" s="18"/>
      <c r="S75" s="18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2:31"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7"/>
      <c r="R76" s="18"/>
      <c r="S76" s="18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2:31">
      <c r="E77" s="14"/>
      <c r="F77" s="14"/>
      <c r="G77" s="14"/>
      <c r="H77" s="14"/>
      <c r="I77" s="178"/>
      <c r="J77" s="14"/>
      <c r="K77" s="14"/>
      <c r="L77" s="14"/>
      <c r="M77" s="14"/>
      <c r="N77" s="14"/>
      <c r="O77" s="14"/>
      <c r="P77" s="14"/>
      <c r="Q77" s="17"/>
      <c r="R77" s="18"/>
      <c r="S77" s="18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2:31">
      <c r="E78" s="14"/>
      <c r="F78" s="14"/>
      <c r="G78" s="14"/>
      <c r="H78" s="14"/>
      <c r="I78" s="178"/>
      <c r="J78" s="14"/>
      <c r="K78" s="14"/>
      <c r="L78" s="14"/>
      <c r="M78" s="14"/>
      <c r="N78" s="14"/>
      <c r="O78" s="14"/>
      <c r="P78" s="14"/>
      <c r="Q78" s="17"/>
      <c r="R78" s="18"/>
      <c r="S78" s="18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2:31">
      <c r="P79" s="14"/>
      <c r="Q79" s="17"/>
      <c r="R79" s="18"/>
      <c r="S79" s="18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2:31">
      <c r="P80" s="14"/>
      <c r="Q80" s="17"/>
      <c r="R80" s="18"/>
      <c r="S80" s="18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7"/>
      <c r="R81" s="18"/>
      <c r="S81" s="1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7"/>
      <c r="R82" s="18"/>
      <c r="S82" s="18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7"/>
      <c r="R83" s="18"/>
      <c r="S83" s="18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7"/>
      <c r="R84" s="18"/>
      <c r="S84" s="18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7"/>
      <c r="R85" s="18"/>
      <c r="S85" s="18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7"/>
      <c r="R86" s="18"/>
      <c r="S86" s="18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7"/>
      <c r="R87" s="18"/>
      <c r="S87" s="18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7"/>
      <c r="R88" s="18"/>
      <c r="S88" s="18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7"/>
      <c r="R89" s="18"/>
      <c r="S89" s="18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7"/>
      <c r="R90" s="18"/>
      <c r="S90" s="18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7"/>
      <c r="R91" s="18"/>
      <c r="S91" s="18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7"/>
      <c r="R92" s="18"/>
      <c r="S92" s="18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7"/>
      <c r="R93" s="18"/>
      <c r="S93" s="18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7"/>
      <c r="R94" s="18"/>
      <c r="S94" s="18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7"/>
      <c r="R95" s="18"/>
      <c r="S95" s="18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7"/>
      <c r="R96" s="18"/>
      <c r="S96" s="18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7"/>
      <c r="R97" s="18"/>
      <c r="S97" s="18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7"/>
      <c r="R98" s="18"/>
      <c r="S98" s="18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7"/>
      <c r="R99" s="18"/>
      <c r="S99" s="18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7"/>
      <c r="R100" s="18"/>
      <c r="S100" s="18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7"/>
      <c r="R101" s="18"/>
      <c r="S101" s="18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7"/>
      <c r="R102" s="18"/>
      <c r="S102" s="18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7"/>
      <c r="R103" s="18"/>
      <c r="S103" s="18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7"/>
      <c r="R104" s="18"/>
      <c r="S104" s="18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7"/>
      <c r="R105" s="18"/>
      <c r="S105" s="18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7"/>
      <c r="R106" s="18"/>
      <c r="S106" s="18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7"/>
      <c r="R107" s="18"/>
      <c r="S107" s="18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7"/>
      <c r="R108" s="18"/>
      <c r="S108" s="18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7"/>
      <c r="R109" s="18"/>
      <c r="S109" s="18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7"/>
      <c r="R110" s="18"/>
      <c r="S110" s="18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7"/>
      <c r="R111" s="18"/>
      <c r="S111" s="18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7"/>
      <c r="R112" s="18"/>
      <c r="S112" s="18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7"/>
      <c r="R113" s="18"/>
      <c r="S113" s="18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7"/>
      <c r="R114" s="18"/>
      <c r="S114" s="18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7"/>
      <c r="R115" s="18"/>
      <c r="S115" s="18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7"/>
      <c r="R116" s="18"/>
      <c r="S116" s="18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7"/>
      <c r="R117" s="18"/>
      <c r="S117" s="18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7"/>
      <c r="R118" s="18"/>
      <c r="S118" s="18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7"/>
      <c r="R119" s="18"/>
      <c r="S119" s="18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7"/>
      <c r="R120" s="18"/>
      <c r="S120" s="18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7"/>
      <c r="R121" s="18"/>
      <c r="S121" s="18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7"/>
      <c r="R122" s="18"/>
      <c r="S122" s="18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7"/>
      <c r="R123" s="18"/>
      <c r="S123" s="18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7"/>
      <c r="R124" s="18"/>
      <c r="S124" s="18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7"/>
      <c r="R125" s="18"/>
      <c r="S125" s="18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7"/>
      <c r="R126" s="18"/>
      <c r="S126" s="18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7"/>
      <c r="R127" s="18"/>
      <c r="S127" s="18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7"/>
      <c r="R128" s="18"/>
      <c r="S128" s="18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7"/>
      <c r="R129" s="18"/>
      <c r="S129" s="18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7"/>
      <c r="R130" s="18"/>
      <c r="S130" s="18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7"/>
      <c r="R131" s="18"/>
      <c r="S131" s="18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7"/>
      <c r="R132" s="18"/>
      <c r="S132" s="18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7"/>
      <c r="R133" s="18"/>
      <c r="S133" s="18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7"/>
      <c r="R134" s="18"/>
      <c r="S134" s="18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7"/>
      <c r="R135" s="18"/>
      <c r="S135" s="18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7"/>
      <c r="R136" s="18"/>
      <c r="S136" s="18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7"/>
      <c r="R137" s="18"/>
      <c r="S137" s="18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7"/>
      <c r="R138" s="18"/>
      <c r="S138" s="18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7"/>
      <c r="R139" s="18"/>
      <c r="S139" s="18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7"/>
      <c r="R140" s="18"/>
      <c r="S140" s="18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7"/>
      <c r="R141" s="18"/>
      <c r="S141" s="18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7"/>
      <c r="R142" s="18"/>
      <c r="S142" s="18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7"/>
      <c r="R143" s="18"/>
      <c r="S143" s="18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7"/>
      <c r="R144" s="18"/>
      <c r="S144" s="18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7"/>
      <c r="R145" s="18"/>
      <c r="S145" s="18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7"/>
      <c r="R146" s="18"/>
      <c r="S146" s="18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7"/>
      <c r="R147" s="18"/>
      <c r="S147" s="18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7"/>
      <c r="R148" s="18"/>
      <c r="S148" s="18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7"/>
      <c r="R149" s="18"/>
      <c r="S149" s="18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7"/>
      <c r="R150" s="18"/>
      <c r="S150" s="18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7"/>
      <c r="R151" s="18"/>
      <c r="S151" s="18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7"/>
      <c r="R152" s="18"/>
      <c r="S152" s="18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7"/>
      <c r="R153" s="18"/>
      <c r="S153" s="18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7"/>
      <c r="R154" s="18"/>
      <c r="S154" s="18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7"/>
      <c r="R155" s="18"/>
      <c r="S155" s="18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7"/>
      <c r="R156" s="18"/>
      <c r="S156" s="18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7"/>
      <c r="R157" s="18"/>
      <c r="S157" s="18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7"/>
      <c r="R158" s="18"/>
      <c r="S158" s="18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7"/>
      <c r="R159" s="18"/>
      <c r="S159" s="18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7"/>
      <c r="R160" s="18"/>
      <c r="S160" s="18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7"/>
      <c r="R161" s="18"/>
      <c r="S161" s="18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7"/>
      <c r="R162" s="18"/>
      <c r="S162" s="18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7"/>
      <c r="R163" s="18"/>
      <c r="S163" s="18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7"/>
      <c r="R164" s="18"/>
      <c r="S164" s="18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7"/>
      <c r="R165" s="18"/>
      <c r="S165" s="18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7"/>
      <c r="R166" s="18"/>
      <c r="S166" s="18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7"/>
      <c r="R167" s="18"/>
      <c r="S167" s="18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7"/>
      <c r="R168" s="18"/>
      <c r="S168" s="18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7"/>
      <c r="R169" s="18"/>
      <c r="S169" s="18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7"/>
      <c r="R170" s="18"/>
      <c r="S170" s="18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7"/>
      <c r="R171" s="18"/>
      <c r="S171" s="18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7"/>
      <c r="R172" s="18"/>
      <c r="S172" s="18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7"/>
      <c r="R173" s="18"/>
      <c r="S173" s="18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6:31">
      <c r="P174" s="14"/>
      <c r="Q174" s="17"/>
      <c r="R174" s="18"/>
      <c r="S174" s="18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6:31">
      <c r="P175" s="14"/>
      <c r="Q175" s="17"/>
      <c r="R175" s="18"/>
      <c r="S175" s="18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6:31">
      <c r="P176" s="14"/>
      <c r="Q176" s="17"/>
      <c r="R176" s="18"/>
      <c r="S176" s="18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6:31">
      <c r="P177" s="14"/>
      <c r="Q177" s="17"/>
      <c r="R177" s="18"/>
      <c r="S177" s="18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6:31">
      <c r="P178" s="14"/>
      <c r="Q178" s="17"/>
      <c r="R178" s="18"/>
      <c r="S178" s="18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6:31">
      <c r="P179" s="14"/>
      <c r="Q179" s="17"/>
      <c r="R179" s="18"/>
      <c r="S179" s="18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6:31">
      <c r="P180" s="14"/>
      <c r="Q180" s="17"/>
      <c r="R180" s="18"/>
      <c r="S180" s="18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6:31">
      <c r="P181" s="14"/>
      <c r="Q181" s="17"/>
      <c r="R181" s="18"/>
      <c r="S181" s="18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6:31">
      <c r="P182" s="14"/>
      <c r="Q182" s="17"/>
      <c r="R182" s="18"/>
      <c r="S182" s="18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6:31">
      <c r="P183" s="14"/>
      <c r="Q183" s="17"/>
      <c r="R183" s="18"/>
      <c r="S183" s="18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6:31">
      <c r="P184" s="14"/>
      <c r="Q184" s="17"/>
      <c r="R184" s="18"/>
      <c r="S184" s="18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6:31">
      <c r="P185" s="14"/>
      <c r="Q185" s="17"/>
      <c r="R185" s="18"/>
      <c r="S185" s="18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6:31">
      <c r="P186" s="14"/>
      <c r="Q186" s="17"/>
      <c r="R186" s="18"/>
      <c r="S186" s="18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6:31">
      <c r="P187" s="14"/>
      <c r="Q187" s="17"/>
      <c r="R187" s="18"/>
      <c r="S187" s="18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6:31">
      <c r="P188" s="14"/>
      <c r="Q188" s="17"/>
      <c r="R188" s="18"/>
      <c r="S188" s="18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6:31">
      <c r="P189" s="14"/>
      <c r="Q189" s="17"/>
      <c r="R189" s="18"/>
      <c r="S189" s="18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6:31">
      <c r="P190" s="14"/>
      <c r="Q190" s="17"/>
      <c r="R190" s="18"/>
      <c r="S190" s="18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6:31">
      <c r="P191" s="14"/>
      <c r="Q191" s="17"/>
      <c r="R191" s="18"/>
      <c r="S191" s="18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6:31">
      <c r="P192" s="14"/>
      <c r="Q192" s="17"/>
      <c r="R192" s="18"/>
      <c r="S192" s="18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6:31">
      <c r="P193" s="14"/>
      <c r="Q193" s="17"/>
      <c r="R193" s="18"/>
      <c r="S193" s="18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6:31">
      <c r="P194" s="14"/>
      <c r="Q194" s="17"/>
      <c r="R194" s="18"/>
      <c r="S194" s="18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6:31">
      <c r="P195" s="14"/>
      <c r="Q195" s="17"/>
      <c r="R195" s="18"/>
      <c r="S195" s="18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6:31">
      <c r="P196" s="14"/>
      <c r="Q196" s="17"/>
      <c r="R196" s="18"/>
      <c r="S196" s="18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6:31">
      <c r="P197" s="14"/>
      <c r="Q197" s="17"/>
      <c r="R197" s="18"/>
      <c r="S197" s="18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6:31">
      <c r="P198" s="14"/>
      <c r="Q198" s="17"/>
      <c r="R198" s="18"/>
      <c r="S198" s="18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6:31">
      <c r="P199" s="14"/>
      <c r="Q199" s="17"/>
      <c r="R199" s="18"/>
      <c r="S199" s="18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6:31">
      <c r="P200" s="14"/>
      <c r="Q200" s="17"/>
      <c r="R200" s="18"/>
      <c r="S200" s="18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6:31">
      <c r="P201" s="14"/>
      <c r="Q201" s="17"/>
      <c r="R201" s="18"/>
      <c r="S201" s="18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6:31">
      <c r="P202" s="14"/>
      <c r="Q202" s="17"/>
      <c r="R202" s="18"/>
      <c r="S202" s="18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6:31">
      <c r="P203" s="14"/>
      <c r="Q203" s="17"/>
      <c r="R203" s="18"/>
      <c r="S203" s="18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6:31">
      <c r="P204" s="14"/>
      <c r="Q204" s="17"/>
      <c r="R204" s="18"/>
      <c r="S204" s="18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6:31">
      <c r="P205" s="14"/>
      <c r="Q205" s="17"/>
      <c r="R205" s="18"/>
      <c r="S205" s="18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6:31">
      <c r="P206" s="14"/>
      <c r="Q206" s="17"/>
      <c r="R206" s="18"/>
      <c r="S206" s="18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6:31">
      <c r="P207" s="14"/>
      <c r="Q207" s="17"/>
      <c r="R207" s="18"/>
      <c r="S207" s="18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6:31">
      <c r="P208" s="14"/>
      <c r="Q208" s="17"/>
      <c r="R208" s="18"/>
      <c r="S208" s="18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6:31">
      <c r="P209" s="14"/>
      <c r="Q209" s="17"/>
      <c r="R209" s="18"/>
      <c r="S209" s="18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6:31">
      <c r="P210" s="14"/>
      <c r="Q210" s="17"/>
      <c r="R210" s="18"/>
      <c r="S210" s="18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6:31">
      <c r="P211" s="14"/>
      <c r="Q211" s="17"/>
      <c r="R211" s="18"/>
      <c r="S211" s="18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6:31">
      <c r="P212" s="14"/>
      <c r="Q212" s="17"/>
      <c r="R212" s="18"/>
      <c r="S212" s="18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6:31">
      <c r="P213" s="14"/>
      <c r="Q213" s="17"/>
      <c r="R213" s="18"/>
      <c r="S213" s="18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</sheetData>
  <mergeCells count="154">
    <mergeCell ref="H59:I59"/>
    <mergeCell ref="H60:I60"/>
    <mergeCell ref="H61:I61"/>
    <mergeCell ref="A1:I1"/>
    <mergeCell ref="A2:I2"/>
    <mergeCell ref="H54:I54"/>
    <mergeCell ref="H55:I55"/>
    <mergeCell ref="H56:I56"/>
    <mergeCell ref="H57:I57"/>
    <mergeCell ref="H58:I58"/>
    <mergeCell ref="H49:I49"/>
    <mergeCell ref="H50:I50"/>
    <mergeCell ref="H51:I51"/>
    <mergeCell ref="H52:I52"/>
    <mergeCell ref="H53:I53"/>
    <mergeCell ref="H44:I44"/>
    <mergeCell ref="H45:I45"/>
    <mergeCell ref="H46:I46"/>
    <mergeCell ref="H47:I47"/>
    <mergeCell ref="H48:I48"/>
    <mergeCell ref="H39:I39"/>
    <mergeCell ref="H40:I40"/>
    <mergeCell ref="H41:I41"/>
    <mergeCell ref="H42:I42"/>
    <mergeCell ref="H22:I22"/>
    <mergeCell ref="H23:I23"/>
    <mergeCell ref="H43:I43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F32:G32"/>
    <mergeCell ref="F33:G33"/>
    <mergeCell ref="F34:G34"/>
    <mergeCell ref="F35:G35"/>
    <mergeCell ref="F36:G36"/>
    <mergeCell ref="H24:I24"/>
    <mergeCell ref="H25:I25"/>
    <mergeCell ref="H26:I26"/>
    <mergeCell ref="H27:I27"/>
    <mergeCell ref="H28:I28"/>
    <mergeCell ref="F27:G27"/>
    <mergeCell ref="F28:G28"/>
    <mergeCell ref="F29:G29"/>
    <mergeCell ref="F30:G30"/>
    <mergeCell ref="F31:G3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61:G61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57:G57"/>
    <mergeCell ref="F58:G58"/>
    <mergeCell ref="F59:G59"/>
    <mergeCell ref="F60:G60"/>
    <mergeCell ref="B59:E59"/>
    <mergeCell ref="B60:E60"/>
    <mergeCell ref="B61:E61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B54:E54"/>
    <mergeCell ref="B55:E55"/>
    <mergeCell ref="B56:E56"/>
    <mergeCell ref="B57:E57"/>
    <mergeCell ref="B58:E58"/>
    <mergeCell ref="B49:E49"/>
    <mergeCell ref="B50:E50"/>
    <mergeCell ref="B51:E51"/>
    <mergeCell ref="B52:E52"/>
    <mergeCell ref="B53:E53"/>
    <mergeCell ref="B44:E44"/>
    <mergeCell ref="B45:E45"/>
    <mergeCell ref="B46:E46"/>
    <mergeCell ref="B47:E47"/>
    <mergeCell ref="B48:E48"/>
    <mergeCell ref="B40:E40"/>
    <mergeCell ref="B41:E41"/>
    <mergeCell ref="B42:E42"/>
    <mergeCell ref="B43:E43"/>
    <mergeCell ref="B39:E39"/>
    <mergeCell ref="B22:E22"/>
    <mergeCell ref="B23:E23"/>
    <mergeCell ref="B14:E14"/>
    <mergeCell ref="B15:E15"/>
    <mergeCell ref="B16:E16"/>
    <mergeCell ref="B17:E17"/>
    <mergeCell ref="B18:E18"/>
    <mergeCell ref="B29:E29"/>
    <mergeCell ref="B30:E30"/>
    <mergeCell ref="B34:E34"/>
    <mergeCell ref="B35:E35"/>
    <mergeCell ref="B36:E36"/>
    <mergeCell ref="B37:E37"/>
    <mergeCell ref="B38:E38"/>
    <mergeCell ref="B31:E31"/>
    <mergeCell ref="B32:E32"/>
    <mergeCell ref="B33:E33"/>
    <mergeCell ref="B24:E24"/>
    <mergeCell ref="B25:E25"/>
    <mergeCell ref="B26:E26"/>
    <mergeCell ref="B27:E27"/>
    <mergeCell ref="B28:E28"/>
    <mergeCell ref="B20:E20"/>
    <mergeCell ref="B21:E21"/>
    <mergeCell ref="H14:I14"/>
    <mergeCell ref="H15:I15"/>
    <mergeCell ref="H16:I16"/>
    <mergeCell ref="H17:I17"/>
    <mergeCell ref="H18:I18"/>
    <mergeCell ref="H19:I19"/>
    <mergeCell ref="H20:I20"/>
    <mergeCell ref="H21:I21"/>
    <mergeCell ref="A8:A12"/>
    <mergeCell ref="K8:O8"/>
    <mergeCell ref="B8:E12"/>
    <mergeCell ref="F8:G12"/>
    <mergeCell ref="H8:I12"/>
    <mergeCell ref="F13:G13"/>
    <mergeCell ref="H13:I13"/>
    <mergeCell ref="B13:E13"/>
    <mergeCell ref="B19:E19"/>
  </mergeCells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82"/>
  <sheetViews>
    <sheetView zoomScaleNormal="100" workbookViewId="0">
      <selection sqref="A1:I26"/>
    </sheetView>
  </sheetViews>
  <sheetFormatPr defaultColWidth="9.140625" defaultRowHeight="12.75"/>
  <cols>
    <col min="1" max="1" width="6.5703125" style="4" customWidth="1"/>
    <col min="2" max="2" width="35.5703125" style="4" customWidth="1"/>
    <col min="3" max="3" width="6.7109375" style="4" customWidth="1"/>
    <col min="4" max="4" width="7.140625" style="4" customWidth="1"/>
    <col min="5" max="10" width="9" style="4" customWidth="1"/>
    <col min="11" max="12" width="9.28515625" style="4" customWidth="1"/>
    <col min="13" max="13" width="10.140625" style="4" customWidth="1"/>
    <col min="14" max="14" width="9.28515625" style="4" customWidth="1"/>
    <col min="15" max="15" width="12" style="4" customWidth="1"/>
    <col min="16" max="16" width="11.7109375" style="4" bestFit="1" customWidth="1"/>
    <col min="17" max="17" width="11.7109375" style="15" bestFit="1" customWidth="1"/>
    <col min="18" max="18" width="10" style="16" bestFit="1" customWidth="1"/>
    <col min="19" max="19" width="11.7109375" style="16" bestFit="1" customWidth="1"/>
    <col min="20" max="16384" width="9.140625" style="4"/>
  </cols>
  <sheetData>
    <row r="1" spans="1:31" s="11" customFormat="1" ht="14.25">
      <c r="A1" s="305" t="s">
        <v>89</v>
      </c>
      <c r="B1" s="305"/>
      <c r="C1" s="305"/>
      <c r="D1" s="305"/>
      <c r="E1" s="305"/>
      <c r="F1" s="305"/>
      <c r="G1" s="305"/>
      <c r="H1" s="305"/>
      <c r="I1" s="305"/>
      <c r="J1" s="216"/>
      <c r="K1" s="216"/>
      <c r="L1" s="216"/>
      <c r="M1" s="216"/>
      <c r="N1" s="216"/>
      <c r="O1" s="216"/>
      <c r="Q1" s="12"/>
      <c r="R1" s="13"/>
      <c r="S1" s="13"/>
    </row>
    <row r="2" spans="1:31" s="11" customFormat="1" ht="14.25">
      <c r="A2" s="304" t="str">
        <f>Kopsavilkums!C18</f>
        <v>Logi un durvis</v>
      </c>
      <c r="B2" s="304"/>
      <c r="C2" s="304"/>
      <c r="D2" s="304"/>
      <c r="E2" s="304"/>
      <c r="F2" s="304"/>
      <c r="G2" s="304"/>
      <c r="H2" s="304"/>
      <c r="I2" s="304"/>
      <c r="J2" s="232"/>
      <c r="K2" s="232"/>
      <c r="L2" s="232"/>
      <c r="M2" s="232"/>
      <c r="N2" s="232"/>
      <c r="O2" s="232"/>
      <c r="Q2" s="12"/>
      <c r="R2" s="13"/>
      <c r="S2" s="13"/>
    </row>
    <row r="3" spans="1:31" s="11" customFormat="1" ht="14.25">
      <c r="A3" s="135" t="s">
        <v>158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12"/>
      <c r="R3" s="13"/>
      <c r="S3" s="13"/>
    </row>
    <row r="4" spans="1:31" s="11" customFormat="1" ht="14.25">
      <c r="A4" s="135" t="s">
        <v>159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Q4" s="12"/>
      <c r="R4" s="13"/>
      <c r="S4" s="13"/>
    </row>
    <row r="5" spans="1:31" s="11" customFormat="1" ht="14.25">
      <c r="A5" s="135" t="s">
        <v>160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12"/>
      <c r="R5" s="13"/>
      <c r="S5" s="13"/>
    </row>
    <row r="6" spans="1:31" s="11" customFormat="1" ht="14.25">
      <c r="A6" s="135"/>
      <c r="B6" s="34"/>
      <c r="C6" s="34"/>
      <c r="D6" s="34"/>
      <c r="E6" s="34"/>
      <c r="F6" s="34"/>
      <c r="G6" s="34"/>
      <c r="H6" s="34"/>
      <c r="I6" s="34"/>
      <c r="J6"/>
      <c r="K6"/>
      <c r="L6"/>
      <c r="M6"/>
      <c r="N6"/>
      <c r="O6"/>
      <c r="P6"/>
      <c r="Q6" s="12"/>
      <c r="R6" s="13"/>
      <c r="S6" s="13"/>
    </row>
    <row r="7" spans="1:31" ht="13.5" thickBot="1">
      <c r="E7" s="14"/>
      <c r="F7" s="14"/>
      <c r="G7" s="14"/>
      <c r="H7" s="14"/>
      <c r="I7" s="14"/>
      <c r="J7"/>
      <c r="K7"/>
      <c r="L7"/>
      <c r="M7"/>
      <c r="N7"/>
      <c r="O7"/>
      <c r="P7"/>
    </row>
    <row r="8" spans="1:31" s="14" customFormat="1" ht="12.75" customHeight="1">
      <c r="A8" s="277" t="s">
        <v>14</v>
      </c>
      <c r="B8" s="282" t="s">
        <v>15</v>
      </c>
      <c r="C8" s="282"/>
      <c r="D8" s="282"/>
      <c r="E8" s="282"/>
      <c r="F8" s="282" t="s">
        <v>9</v>
      </c>
      <c r="G8" s="282"/>
      <c r="H8" s="282" t="s">
        <v>622</v>
      </c>
      <c r="I8" s="283"/>
      <c r="J8"/>
      <c r="K8"/>
      <c r="L8"/>
      <c r="M8"/>
      <c r="N8"/>
      <c r="O8"/>
      <c r="P8"/>
      <c r="Q8" s="17"/>
      <c r="R8" s="18"/>
      <c r="S8" s="18"/>
    </row>
    <row r="9" spans="1:31" s="14" customFormat="1" ht="12.75" customHeight="1">
      <c r="A9" s="278"/>
      <c r="B9" s="284"/>
      <c r="C9" s="284"/>
      <c r="D9" s="284"/>
      <c r="E9" s="284"/>
      <c r="F9" s="284"/>
      <c r="G9" s="284"/>
      <c r="H9" s="284"/>
      <c r="I9" s="285"/>
      <c r="J9"/>
      <c r="K9"/>
      <c r="L9"/>
      <c r="M9"/>
      <c r="N9"/>
      <c r="O9"/>
      <c r="P9"/>
      <c r="Q9"/>
      <c r="R9"/>
      <c r="S9"/>
      <c r="T9"/>
    </row>
    <row r="10" spans="1:31" s="14" customFormat="1">
      <c r="A10" s="278"/>
      <c r="B10" s="284"/>
      <c r="C10" s="284"/>
      <c r="D10" s="284"/>
      <c r="E10" s="284"/>
      <c r="F10" s="284"/>
      <c r="G10" s="284"/>
      <c r="H10" s="284"/>
      <c r="I10" s="285"/>
      <c r="J10"/>
      <c r="K10"/>
      <c r="L10"/>
      <c r="M10"/>
      <c r="N10"/>
      <c r="O10"/>
      <c r="P10"/>
      <c r="Q10"/>
      <c r="R10"/>
      <c r="S10"/>
      <c r="T10"/>
    </row>
    <row r="11" spans="1:31" s="14" customFormat="1">
      <c r="A11" s="278"/>
      <c r="B11" s="284"/>
      <c r="C11" s="284"/>
      <c r="D11" s="284"/>
      <c r="E11" s="284"/>
      <c r="F11" s="284"/>
      <c r="G11" s="284"/>
      <c r="H11" s="284"/>
      <c r="I11" s="285"/>
      <c r="J11"/>
      <c r="K11"/>
      <c r="L11"/>
      <c r="M11"/>
      <c r="N11"/>
      <c r="O11"/>
      <c r="P11"/>
      <c r="Q11"/>
      <c r="R11"/>
      <c r="S11"/>
      <c r="T11"/>
    </row>
    <row r="12" spans="1:31" s="14" customFormat="1" ht="13.5" thickBot="1">
      <c r="A12" s="279"/>
      <c r="B12" s="286"/>
      <c r="C12" s="286"/>
      <c r="D12" s="286"/>
      <c r="E12" s="286"/>
      <c r="F12" s="286"/>
      <c r="G12" s="286"/>
      <c r="H12" s="286"/>
      <c r="I12" s="287"/>
      <c r="J12"/>
      <c r="K12"/>
      <c r="L12"/>
      <c r="M12"/>
      <c r="N12"/>
      <c r="O12"/>
      <c r="P12"/>
      <c r="Q12"/>
      <c r="R12"/>
      <c r="S12"/>
      <c r="T12"/>
    </row>
    <row r="13" spans="1:31" s="14" customFormat="1" ht="14.25" thickTop="1" thickBot="1">
      <c r="A13" s="19">
        <v>1</v>
      </c>
      <c r="B13" s="361">
        <v>2</v>
      </c>
      <c r="C13" s="361"/>
      <c r="D13" s="361"/>
      <c r="E13" s="361"/>
      <c r="F13" s="361">
        <v>3</v>
      </c>
      <c r="G13" s="361"/>
      <c r="H13" s="361">
        <v>4</v>
      </c>
      <c r="I13" s="362"/>
      <c r="J13"/>
      <c r="K13"/>
      <c r="L13"/>
      <c r="M13"/>
      <c r="N13"/>
      <c r="O13"/>
      <c r="P13"/>
      <c r="Q13"/>
      <c r="R13"/>
      <c r="S13"/>
      <c r="T13"/>
    </row>
    <row r="14" spans="1:31" s="23" customFormat="1" ht="15" thickTop="1">
      <c r="A14" s="235">
        <v>1</v>
      </c>
      <c r="B14" s="441" t="s">
        <v>97</v>
      </c>
      <c r="C14" s="441"/>
      <c r="D14" s="441"/>
      <c r="E14" s="441"/>
      <c r="F14" s="435" t="s">
        <v>7</v>
      </c>
      <c r="G14" s="435"/>
      <c r="H14" s="433">
        <v>2.88</v>
      </c>
      <c r="I14" s="434"/>
      <c r="J14"/>
      <c r="K14"/>
      <c r="L14"/>
      <c r="M14"/>
      <c r="N14"/>
      <c r="O14"/>
      <c r="P14"/>
      <c r="Q14"/>
      <c r="R14"/>
      <c r="S14"/>
      <c r="T14"/>
      <c r="U14" s="2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s="23" customFormat="1" ht="14.25">
      <c r="A15" s="236"/>
      <c r="B15" s="442" t="s">
        <v>234</v>
      </c>
      <c r="C15" s="442"/>
      <c r="D15" s="442"/>
      <c r="E15" s="442"/>
      <c r="F15" s="436" t="s">
        <v>16</v>
      </c>
      <c r="G15" s="436"/>
      <c r="H15" s="437">
        <v>1</v>
      </c>
      <c r="I15" s="438"/>
      <c r="J15"/>
      <c r="K15"/>
      <c r="L15"/>
      <c r="M15"/>
      <c r="N15"/>
      <c r="O15"/>
      <c r="P15"/>
      <c r="Q15"/>
      <c r="R15"/>
      <c r="S15"/>
      <c r="T15"/>
      <c r="U15" s="2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s="8" customFormat="1" ht="12" customHeight="1">
      <c r="A16" s="245">
        <v>2</v>
      </c>
      <c r="B16" s="388" t="s">
        <v>235</v>
      </c>
      <c r="C16" s="388"/>
      <c r="D16" s="388"/>
      <c r="E16" s="388"/>
      <c r="F16" s="436" t="s">
        <v>7</v>
      </c>
      <c r="G16" s="436"/>
      <c r="H16" s="439">
        <v>17.46</v>
      </c>
      <c r="I16" s="440"/>
      <c r="J16"/>
      <c r="K16"/>
      <c r="L16"/>
      <c r="M16"/>
      <c r="N16"/>
      <c r="O16"/>
      <c r="P16"/>
      <c r="Q16"/>
      <c r="R16"/>
      <c r="S16"/>
      <c r="T16"/>
    </row>
    <row r="17" spans="1:31" s="23" customFormat="1" ht="14.25">
      <c r="A17" s="236"/>
      <c r="B17" s="442" t="s">
        <v>236</v>
      </c>
      <c r="C17" s="442"/>
      <c r="D17" s="442"/>
      <c r="E17" s="442"/>
      <c r="F17" s="436" t="s">
        <v>16</v>
      </c>
      <c r="G17" s="436"/>
      <c r="H17" s="437">
        <v>1</v>
      </c>
      <c r="I17" s="438"/>
      <c r="J17"/>
      <c r="K17"/>
      <c r="L17"/>
      <c r="M17"/>
      <c r="N17"/>
      <c r="O17"/>
      <c r="P17"/>
      <c r="Q17"/>
      <c r="R17"/>
      <c r="S17"/>
      <c r="T17"/>
      <c r="U17" s="2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s="23" customFormat="1">
      <c r="A18" s="233">
        <v>3</v>
      </c>
      <c r="B18" s="443" t="s">
        <v>98</v>
      </c>
      <c r="C18" s="443"/>
      <c r="D18" s="443"/>
      <c r="E18" s="443"/>
      <c r="F18" s="436" t="s">
        <v>7</v>
      </c>
      <c r="G18" s="436"/>
      <c r="H18" s="367">
        <v>23.24</v>
      </c>
      <c r="I18" s="368"/>
      <c r="J18"/>
      <c r="K18"/>
      <c r="L18"/>
      <c r="M18"/>
      <c r="N18"/>
      <c r="O18"/>
      <c r="P18"/>
      <c r="Q18"/>
      <c r="R18"/>
      <c r="S18"/>
      <c r="T18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23" customFormat="1">
      <c r="A19" s="236"/>
      <c r="B19" s="444" t="s">
        <v>237</v>
      </c>
      <c r="C19" s="444"/>
      <c r="D19" s="444"/>
      <c r="E19" s="444"/>
      <c r="F19" s="404" t="s">
        <v>17</v>
      </c>
      <c r="G19" s="404"/>
      <c r="H19" s="280">
        <v>1</v>
      </c>
      <c r="I19" s="281"/>
      <c r="J19"/>
      <c r="K19"/>
      <c r="L19"/>
      <c r="M19"/>
      <c r="N19"/>
      <c r="O19"/>
      <c r="P19"/>
      <c r="Q19"/>
      <c r="R19"/>
      <c r="S19"/>
      <c r="T19"/>
      <c r="U19" s="7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s="23" customFormat="1">
      <c r="A20" s="236"/>
      <c r="B20" s="444" t="s">
        <v>238</v>
      </c>
      <c r="C20" s="444"/>
      <c r="D20" s="444"/>
      <c r="E20" s="444"/>
      <c r="F20" s="404" t="s">
        <v>17</v>
      </c>
      <c r="G20" s="404"/>
      <c r="H20" s="280">
        <v>2</v>
      </c>
      <c r="I20" s="281"/>
      <c r="J20"/>
      <c r="K20"/>
      <c r="L20"/>
      <c r="M20"/>
      <c r="N20"/>
      <c r="O20"/>
      <c r="P20"/>
      <c r="Q20"/>
      <c r="R20"/>
      <c r="S20"/>
      <c r="T20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s="23" customFormat="1">
      <c r="A21" s="236"/>
      <c r="B21" s="444" t="s">
        <v>239</v>
      </c>
      <c r="C21" s="444"/>
      <c r="D21" s="444"/>
      <c r="E21" s="444"/>
      <c r="F21" s="404" t="s">
        <v>17</v>
      </c>
      <c r="G21" s="404"/>
      <c r="H21" s="280">
        <v>7</v>
      </c>
      <c r="I21" s="281"/>
      <c r="J21"/>
      <c r="K21"/>
      <c r="L21"/>
      <c r="M21"/>
      <c r="N21"/>
      <c r="O21"/>
      <c r="P21"/>
      <c r="Q21"/>
      <c r="R21"/>
      <c r="S21"/>
      <c r="T21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s="180" customFormat="1">
      <c r="A22" s="236"/>
      <c r="B22" s="445" t="s">
        <v>240</v>
      </c>
      <c r="C22" s="445"/>
      <c r="D22" s="445"/>
      <c r="E22" s="445"/>
      <c r="F22" s="404" t="s">
        <v>17</v>
      </c>
      <c r="G22" s="404"/>
      <c r="H22" s="280">
        <v>1</v>
      </c>
      <c r="I22" s="281"/>
      <c r="J22"/>
      <c r="K22"/>
      <c r="L22"/>
      <c r="M22"/>
      <c r="N22"/>
      <c r="O22"/>
      <c r="P22"/>
      <c r="Q22"/>
      <c r="R22"/>
      <c r="S22"/>
      <c r="T22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</row>
    <row r="23" spans="1:31" s="23" customFormat="1">
      <c r="A23" s="236"/>
      <c r="B23" s="444" t="s">
        <v>241</v>
      </c>
      <c r="C23" s="444"/>
      <c r="D23" s="444"/>
      <c r="E23" s="444"/>
      <c r="F23" s="404" t="s">
        <v>17</v>
      </c>
      <c r="G23" s="404"/>
      <c r="H23" s="280">
        <v>1</v>
      </c>
      <c r="I23" s="281"/>
      <c r="J23"/>
      <c r="K23"/>
      <c r="L23"/>
      <c r="M23"/>
      <c r="N23"/>
      <c r="O23"/>
      <c r="P23"/>
      <c r="Q23"/>
      <c r="R23"/>
      <c r="S23"/>
      <c r="T23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s="23" customFormat="1">
      <c r="A24" s="233">
        <v>4</v>
      </c>
      <c r="B24" s="443" t="s">
        <v>35</v>
      </c>
      <c r="C24" s="443"/>
      <c r="D24" s="443"/>
      <c r="E24" s="443"/>
      <c r="F24" s="436" t="s">
        <v>16</v>
      </c>
      <c r="G24" s="436"/>
      <c r="H24" s="373">
        <f>SUM(H15:H15)+SUM(H17)+SUM(H19:H23)</f>
        <v>14</v>
      </c>
      <c r="I24" s="374"/>
      <c r="J24"/>
      <c r="K24"/>
      <c r="L24"/>
      <c r="M24"/>
      <c r="N24"/>
      <c r="O24"/>
      <c r="P24"/>
      <c r="Q24"/>
      <c r="R24"/>
      <c r="S24"/>
      <c r="T24"/>
      <c r="U24" s="7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s="23" customFormat="1">
      <c r="A25" s="236"/>
      <c r="B25" s="442" t="s">
        <v>36</v>
      </c>
      <c r="C25" s="442"/>
      <c r="D25" s="442"/>
      <c r="E25" s="442"/>
      <c r="F25" s="436" t="s">
        <v>16</v>
      </c>
      <c r="G25" s="436"/>
      <c r="H25" s="373">
        <f>H24*2.75</f>
        <v>38.5</v>
      </c>
      <c r="I25" s="374"/>
      <c r="J25"/>
      <c r="K25"/>
      <c r="L25"/>
      <c r="M25"/>
      <c r="N25"/>
      <c r="O25"/>
      <c r="P25"/>
      <c r="Q25"/>
      <c r="R25"/>
      <c r="S25"/>
      <c r="T25"/>
      <c r="U25" s="7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s="10" customFormat="1" ht="24" customHeight="1" thickBot="1">
      <c r="A26" s="234">
        <v>5</v>
      </c>
      <c r="B26" s="297" t="s">
        <v>32</v>
      </c>
      <c r="C26" s="297"/>
      <c r="D26" s="297"/>
      <c r="E26" s="297"/>
      <c r="F26" s="296" t="s">
        <v>23</v>
      </c>
      <c r="G26" s="296"/>
      <c r="H26" s="427">
        <v>1</v>
      </c>
      <c r="I26" s="428"/>
      <c r="J26"/>
      <c r="K26"/>
      <c r="L26"/>
      <c r="M26"/>
      <c r="N26"/>
      <c r="O26"/>
      <c r="P26"/>
    </row>
    <row r="27" spans="1:31" s="11" customFormat="1" ht="14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s="11" customFormat="1" ht="14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11" customFormat="1" ht="14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1" customFormat="1" ht="14.25">
      <c r="B30" s="1"/>
      <c r="E30"/>
      <c r="F30"/>
      <c r="G30"/>
      <c r="H30"/>
      <c r="I30"/>
      <c r="J30"/>
      <c r="K30"/>
      <c r="L30"/>
      <c r="M30"/>
      <c r="N30"/>
      <c r="O30"/>
      <c r="P30"/>
      <c r="Q30" s="21"/>
      <c r="R30" s="22"/>
      <c r="S30" s="22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11" customFormat="1" ht="14.25">
      <c r="B31" s="55"/>
      <c r="E31"/>
      <c r="F31"/>
      <c r="G31"/>
      <c r="H31"/>
      <c r="I31"/>
      <c r="J31"/>
      <c r="K31"/>
      <c r="L31"/>
      <c r="M31"/>
      <c r="N31"/>
      <c r="O31"/>
      <c r="P31"/>
      <c r="Q31" s="21"/>
      <c r="R31" s="22"/>
      <c r="S31" s="22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11" customFormat="1" ht="14.25">
      <c r="B32" s="55"/>
      <c r="P32" s="10"/>
      <c r="Q32" s="21"/>
      <c r="R32" s="22"/>
      <c r="S32" s="22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2:31" s="11" customFormat="1" ht="14.25">
      <c r="B33" s="102"/>
      <c r="P33" s="10"/>
      <c r="Q33" s="21"/>
      <c r="R33" s="22"/>
      <c r="S33" s="22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2:31" s="11" customFormat="1" ht="14.25">
      <c r="P34" s="10"/>
      <c r="Q34" s="21"/>
      <c r="R34" s="22"/>
      <c r="S34" s="22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2:31" s="11" customFormat="1" ht="14.25">
      <c r="P35" s="10"/>
      <c r="Q35" s="21"/>
      <c r="R35" s="22"/>
      <c r="S35" s="22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7" spans="2:31" s="11" customFormat="1" ht="14.25">
      <c r="P37" s="10"/>
      <c r="Q37" s="21"/>
      <c r="R37" s="22"/>
      <c r="S37" s="22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2:31" s="11" customFormat="1" ht="14.25">
      <c r="P38" s="10"/>
      <c r="Q38" s="21"/>
      <c r="R38" s="22"/>
      <c r="S38" s="22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2:31" s="11" customFormat="1" ht="14.25">
      <c r="P39" s="10"/>
      <c r="Q39" s="21"/>
      <c r="R39" s="22"/>
      <c r="S39" s="22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2:31">
      <c r="P40" s="14"/>
      <c r="Q40" s="17"/>
      <c r="R40" s="18"/>
      <c r="S40" s="18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>
      <c r="P41" s="14"/>
      <c r="Q41" s="17"/>
      <c r="R41" s="18"/>
      <c r="S41" s="18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>
      <c r="P42" s="14"/>
      <c r="Q42" s="17"/>
      <c r="R42" s="18"/>
      <c r="S42" s="18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>
      <c r="P43" s="14"/>
      <c r="Q43" s="17"/>
      <c r="R43" s="18"/>
      <c r="S43" s="18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>
      <c r="P44" s="14"/>
      <c r="Q44" s="17"/>
      <c r="R44" s="18"/>
      <c r="S44" s="18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>
      <c r="P45" s="14"/>
      <c r="Q45" s="17"/>
      <c r="R45" s="18"/>
      <c r="S45" s="18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>
      <c r="P46" s="14"/>
      <c r="Q46" s="17"/>
      <c r="R46" s="18"/>
      <c r="S46" s="18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>
      <c r="P47" s="14"/>
      <c r="Q47" s="17"/>
      <c r="R47" s="18"/>
      <c r="S47" s="18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>
      <c r="P48" s="14"/>
      <c r="Q48" s="17"/>
      <c r="R48" s="18"/>
      <c r="S48" s="18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6:31">
      <c r="P49" s="14"/>
      <c r="Q49" s="17"/>
      <c r="R49" s="18"/>
      <c r="S49" s="18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6:31">
      <c r="P50" s="14"/>
      <c r="Q50" s="17"/>
      <c r="R50" s="18"/>
      <c r="S50" s="18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6:31">
      <c r="P51" s="14"/>
      <c r="Q51" s="17"/>
      <c r="R51" s="18"/>
      <c r="S51" s="18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6:31">
      <c r="P52" s="14"/>
      <c r="Q52" s="17"/>
      <c r="R52" s="18"/>
      <c r="S52" s="18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6:31">
      <c r="P53" s="14"/>
      <c r="Q53" s="17"/>
      <c r="R53" s="18"/>
      <c r="S53" s="18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6:31">
      <c r="P54" s="14"/>
      <c r="Q54" s="17"/>
      <c r="R54" s="18"/>
      <c r="S54" s="18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6:31">
      <c r="P55" s="14"/>
      <c r="Q55" s="17"/>
      <c r="R55" s="18"/>
      <c r="S55" s="18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6:31">
      <c r="P56" s="14"/>
      <c r="Q56" s="17"/>
      <c r="R56" s="18"/>
      <c r="S56" s="18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6:31">
      <c r="P57" s="14"/>
      <c r="Q57" s="17"/>
      <c r="R57" s="18"/>
      <c r="S57" s="18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6:31">
      <c r="P58" s="14"/>
      <c r="Q58" s="17"/>
      <c r="R58" s="18"/>
      <c r="S58" s="18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6:31">
      <c r="P59" s="14"/>
      <c r="Q59" s="17"/>
      <c r="R59" s="18"/>
      <c r="S59" s="18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6:31">
      <c r="P60" s="14"/>
      <c r="Q60" s="17"/>
      <c r="R60" s="18"/>
      <c r="S60" s="18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6:31">
      <c r="P61" s="14"/>
      <c r="Q61" s="17"/>
      <c r="R61" s="18"/>
      <c r="S61" s="18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6:31">
      <c r="P62" s="14"/>
      <c r="Q62" s="17"/>
      <c r="R62" s="18"/>
      <c r="S62" s="18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6:31">
      <c r="P63" s="14"/>
      <c r="Q63" s="17"/>
      <c r="R63" s="18"/>
      <c r="S63" s="18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6:31">
      <c r="P64" s="14"/>
      <c r="Q64" s="17"/>
      <c r="R64" s="18"/>
      <c r="S64" s="18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6:31">
      <c r="P65" s="14"/>
      <c r="Q65" s="17"/>
      <c r="R65" s="18"/>
      <c r="S65" s="18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6:31">
      <c r="P66" s="14"/>
      <c r="Q66" s="17"/>
      <c r="R66" s="18"/>
      <c r="S66" s="18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6:31">
      <c r="P67" s="14"/>
      <c r="Q67" s="17"/>
      <c r="R67" s="18"/>
      <c r="S67" s="18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6:31">
      <c r="P68" s="14"/>
      <c r="Q68" s="17"/>
      <c r="R68" s="18"/>
      <c r="S68" s="18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6:31">
      <c r="P69" s="14"/>
      <c r="Q69" s="17"/>
      <c r="R69" s="18"/>
      <c r="S69" s="18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6:31">
      <c r="P70" s="14"/>
      <c r="Q70" s="17"/>
      <c r="R70" s="18"/>
      <c r="S70" s="18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6:31">
      <c r="P71" s="14"/>
      <c r="Q71" s="17"/>
      <c r="R71" s="18"/>
      <c r="S71" s="18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6:31">
      <c r="P72" s="14"/>
      <c r="Q72" s="17"/>
      <c r="R72" s="18"/>
      <c r="S72" s="1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6:31">
      <c r="P73" s="14"/>
      <c r="Q73" s="17"/>
      <c r="R73" s="18"/>
      <c r="S73" s="1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6:31">
      <c r="P74" s="14"/>
      <c r="Q74" s="17"/>
      <c r="R74" s="18"/>
      <c r="S74" s="1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6:31">
      <c r="P75" s="14"/>
      <c r="Q75" s="17"/>
      <c r="R75" s="18"/>
      <c r="S75" s="18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6:31">
      <c r="P76" s="14"/>
      <c r="Q76" s="17"/>
      <c r="R76" s="18"/>
      <c r="S76" s="18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6:31">
      <c r="P77" s="14"/>
      <c r="Q77" s="17"/>
      <c r="R77" s="18"/>
      <c r="S77" s="18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6:31">
      <c r="P78" s="14"/>
      <c r="Q78" s="17"/>
      <c r="R78" s="18"/>
      <c r="S78" s="18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6:31">
      <c r="P79" s="14"/>
      <c r="Q79" s="17"/>
      <c r="R79" s="18"/>
      <c r="S79" s="18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6:31">
      <c r="P80" s="14"/>
      <c r="Q80" s="17"/>
      <c r="R80" s="18"/>
      <c r="S80" s="18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6:31">
      <c r="P81" s="14"/>
      <c r="Q81" s="17"/>
      <c r="R81" s="18"/>
      <c r="S81" s="1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6:31">
      <c r="P82" s="14"/>
      <c r="Q82" s="17"/>
      <c r="R82" s="18"/>
      <c r="S82" s="18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6:31">
      <c r="P83" s="14"/>
      <c r="Q83" s="17"/>
      <c r="R83" s="18"/>
      <c r="S83" s="18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6:31">
      <c r="P84" s="14"/>
      <c r="Q84" s="17"/>
      <c r="R84" s="18"/>
      <c r="S84" s="18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6:31">
      <c r="P85" s="14"/>
      <c r="Q85" s="17"/>
      <c r="R85" s="18"/>
      <c r="S85" s="18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6:31">
      <c r="P86" s="14"/>
      <c r="Q86" s="17"/>
      <c r="R86" s="18"/>
      <c r="S86" s="18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6:31">
      <c r="P87" s="14"/>
      <c r="Q87" s="17"/>
      <c r="R87" s="18"/>
      <c r="S87" s="18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6:31">
      <c r="P88" s="14"/>
      <c r="Q88" s="17"/>
      <c r="R88" s="18"/>
      <c r="S88" s="18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6:31">
      <c r="P89" s="14"/>
      <c r="Q89" s="17"/>
      <c r="R89" s="18"/>
      <c r="S89" s="18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6:31">
      <c r="P90" s="14"/>
      <c r="Q90" s="17"/>
      <c r="R90" s="18"/>
      <c r="S90" s="18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6:31">
      <c r="P91" s="14"/>
      <c r="Q91" s="17"/>
      <c r="R91" s="18"/>
      <c r="S91" s="18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6:31">
      <c r="P92" s="14"/>
      <c r="Q92" s="17"/>
      <c r="R92" s="18"/>
      <c r="S92" s="18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6:31">
      <c r="P93" s="14"/>
      <c r="Q93" s="17"/>
      <c r="R93" s="18"/>
      <c r="S93" s="18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6:31">
      <c r="P94" s="14"/>
      <c r="Q94" s="17"/>
      <c r="R94" s="18"/>
      <c r="S94" s="18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6:31">
      <c r="P95" s="14"/>
      <c r="Q95" s="17"/>
      <c r="R95" s="18"/>
      <c r="S95" s="18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6:31">
      <c r="P96" s="14"/>
      <c r="Q96" s="17"/>
      <c r="R96" s="18"/>
      <c r="S96" s="18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6:31">
      <c r="P97" s="14"/>
      <c r="Q97" s="17"/>
      <c r="R97" s="18"/>
      <c r="S97" s="18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6:31">
      <c r="P98" s="14"/>
      <c r="Q98" s="17"/>
      <c r="R98" s="18"/>
      <c r="S98" s="18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6:31">
      <c r="P99" s="14"/>
      <c r="Q99" s="17"/>
      <c r="R99" s="18"/>
      <c r="S99" s="18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6:31">
      <c r="P100" s="14"/>
      <c r="Q100" s="17"/>
      <c r="R100" s="18"/>
      <c r="S100" s="18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6:31">
      <c r="P101" s="14"/>
      <c r="Q101" s="17"/>
      <c r="R101" s="18"/>
      <c r="S101" s="18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6:31">
      <c r="P102" s="14"/>
      <c r="Q102" s="17"/>
      <c r="R102" s="18"/>
      <c r="S102" s="18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6:31">
      <c r="P103" s="14"/>
      <c r="Q103" s="17"/>
      <c r="R103" s="18"/>
      <c r="S103" s="18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6:31">
      <c r="P104" s="14"/>
      <c r="Q104" s="17"/>
      <c r="R104" s="18"/>
      <c r="S104" s="18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6:31">
      <c r="P105" s="14"/>
      <c r="Q105" s="17"/>
      <c r="R105" s="18"/>
      <c r="S105" s="18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6:31">
      <c r="P106" s="14"/>
      <c r="Q106" s="17"/>
      <c r="R106" s="18"/>
      <c r="S106" s="18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6:31">
      <c r="P107" s="14"/>
      <c r="Q107" s="17"/>
      <c r="R107" s="18"/>
      <c r="S107" s="18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6:31">
      <c r="P108" s="14"/>
      <c r="Q108" s="17"/>
      <c r="R108" s="18"/>
      <c r="S108" s="18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6:31">
      <c r="P109" s="14"/>
      <c r="Q109" s="17"/>
      <c r="R109" s="18"/>
      <c r="S109" s="18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6:31">
      <c r="P110" s="14"/>
      <c r="Q110" s="17"/>
      <c r="R110" s="18"/>
      <c r="S110" s="18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6:31">
      <c r="P111" s="14"/>
      <c r="Q111" s="17"/>
      <c r="R111" s="18"/>
      <c r="S111" s="18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6:31">
      <c r="P112" s="14"/>
      <c r="Q112" s="17"/>
      <c r="R112" s="18"/>
      <c r="S112" s="18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6:31">
      <c r="P113" s="14"/>
      <c r="Q113" s="17"/>
      <c r="R113" s="18"/>
      <c r="S113" s="18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6:31">
      <c r="P114" s="14"/>
      <c r="Q114" s="17"/>
      <c r="R114" s="18"/>
      <c r="S114" s="18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6:31">
      <c r="P115" s="14"/>
      <c r="Q115" s="17"/>
      <c r="R115" s="18"/>
      <c r="S115" s="18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6:31">
      <c r="P116" s="14"/>
      <c r="Q116" s="17"/>
      <c r="R116" s="18"/>
      <c r="S116" s="18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6:31">
      <c r="P117" s="14"/>
      <c r="Q117" s="17"/>
      <c r="R117" s="18"/>
      <c r="S117" s="18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6:31">
      <c r="P118" s="14"/>
      <c r="Q118" s="17"/>
      <c r="R118" s="18"/>
      <c r="S118" s="18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6:31">
      <c r="P119" s="14"/>
      <c r="Q119" s="17"/>
      <c r="R119" s="18"/>
      <c r="S119" s="18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6:31">
      <c r="P120" s="14"/>
      <c r="Q120" s="17"/>
      <c r="R120" s="18"/>
      <c r="S120" s="18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6:31">
      <c r="P121" s="14"/>
      <c r="Q121" s="17"/>
      <c r="R121" s="18"/>
      <c r="S121" s="18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6:31">
      <c r="P122" s="14"/>
      <c r="Q122" s="17"/>
      <c r="R122" s="18"/>
      <c r="S122" s="18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6:31">
      <c r="P123" s="14"/>
      <c r="Q123" s="17"/>
      <c r="R123" s="18"/>
      <c r="S123" s="18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6:31">
      <c r="P124" s="14"/>
      <c r="Q124" s="17"/>
      <c r="R124" s="18"/>
      <c r="S124" s="18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6:31">
      <c r="P125" s="14"/>
      <c r="Q125" s="17"/>
      <c r="R125" s="18"/>
      <c r="S125" s="18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6:31">
      <c r="P126" s="14"/>
      <c r="Q126" s="17"/>
      <c r="R126" s="18"/>
      <c r="S126" s="18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6:31">
      <c r="P127" s="14"/>
      <c r="Q127" s="17"/>
      <c r="R127" s="18"/>
      <c r="S127" s="18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6:31">
      <c r="P128" s="14"/>
      <c r="Q128" s="17"/>
      <c r="R128" s="18"/>
      <c r="S128" s="18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6:31">
      <c r="P129" s="14"/>
      <c r="Q129" s="17"/>
      <c r="R129" s="18"/>
      <c r="S129" s="18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6:31">
      <c r="P130" s="14"/>
      <c r="Q130" s="17"/>
      <c r="R130" s="18"/>
      <c r="S130" s="18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6:31">
      <c r="P131" s="14"/>
      <c r="Q131" s="17"/>
      <c r="R131" s="18"/>
      <c r="S131" s="18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6:31">
      <c r="P132" s="14"/>
      <c r="Q132" s="17"/>
      <c r="R132" s="18"/>
      <c r="S132" s="18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6:31">
      <c r="P133" s="14"/>
      <c r="Q133" s="17"/>
      <c r="R133" s="18"/>
      <c r="S133" s="18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6:31">
      <c r="P134" s="14"/>
      <c r="Q134" s="17"/>
      <c r="R134" s="18"/>
      <c r="S134" s="18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6:31">
      <c r="P135" s="14"/>
      <c r="Q135" s="17"/>
      <c r="R135" s="18"/>
      <c r="S135" s="18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6:31">
      <c r="P136" s="14"/>
      <c r="Q136" s="17"/>
      <c r="R136" s="18"/>
      <c r="S136" s="18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6:31">
      <c r="P137" s="14"/>
      <c r="Q137" s="17"/>
      <c r="R137" s="18"/>
      <c r="S137" s="18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6:31">
      <c r="P138" s="14"/>
      <c r="Q138" s="17"/>
      <c r="R138" s="18"/>
      <c r="S138" s="18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6:31">
      <c r="P139" s="14"/>
      <c r="Q139" s="17"/>
      <c r="R139" s="18"/>
      <c r="S139" s="18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6:31">
      <c r="P140" s="14"/>
      <c r="Q140" s="17"/>
      <c r="R140" s="18"/>
      <c r="S140" s="18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6:31">
      <c r="P141" s="14"/>
      <c r="Q141" s="17"/>
      <c r="R141" s="18"/>
      <c r="S141" s="18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6:31">
      <c r="P142" s="14"/>
      <c r="Q142" s="17"/>
      <c r="R142" s="18"/>
      <c r="S142" s="18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6:31">
      <c r="P143" s="14"/>
      <c r="Q143" s="17"/>
      <c r="R143" s="18"/>
      <c r="S143" s="18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6:31">
      <c r="P144" s="14"/>
      <c r="Q144" s="17"/>
      <c r="R144" s="18"/>
      <c r="S144" s="18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6:31">
      <c r="P145" s="14"/>
      <c r="Q145" s="17"/>
      <c r="R145" s="18"/>
      <c r="S145" s="18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6:31">
      <c r="P146" s="14"/>
      <c r="Q146" s="17"/>
      <c r="R146" s="18"/>
      <c r="S146" s="18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6:31">
      <c r="P147" s="14"/>
      <c r="Q147" s="17"/>
      <c r="R147" s="18"/>
      <c r="S147" s="18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6:31">
      <c r="P148" s="14"/>
      <c r="Q148" s="17"/>
      <c r="R148" s="18"/>
      <c r="S148" s="18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6:31">
      <c r="P149" s="14"/>
      <c r="Q149" s="17"/>
      <c r="R149" s="18"/>
      <c r="S149" s="18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6:31">
      <c r="P150" s="14"/>
      <c r="Q150" s="17"/>
      <c r="R150" s="18"/>
      <c r="S150" s="18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6:31">
      <c r="P151" s="14"/>
      <c r="Q151" s="17"/>
      <c r="R151" s="18"/>
      <c r="S151" s="18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6:31">
      <c r="P152" s="14"/>
      <c r="Q152" s="17"/>
      <c r="R152" s="18"/>
      <c r="S152" s="18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6:31">
      <c r="P153" s="14"/>
      <c r="Q153" s="17"/>
      <c r="R153" s="18"/>
      <c r="S153" s="18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6:31">
      <c r="P154" s="14"/>
      <c r="Q154" s="17"/>
      <c r="R154" s="18"/>
      <c r="S154" s="18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6:31">
      <c r="P155" s="14"/>
      <c r="Q155" s="17"/>
      <c r="R155" s="18"/>
      <c r="S155" s="18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6:31">
      <c r="P156" s="14"/>
      <c r="Q156" s="17"/>
      <c r="R156" s="18"/>
      <c r="S156" s="18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6:31">
      <c r="P157" s="14"/>
      <c r="Q157" s="17"/>
      <c r="R157" s="18"/>
      <c r="S157" s="18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6:31">
      <c r="P158" s="14"/>
      <c r="Q158" s="17"/>
      <c r="R158" s="18"/>
      <c r="S158" s="18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6:31">
      <c r="P159" s="14"/>
      <c r="Q159" s="17"/>
      <c r="R159" s="18"/>
      <c r="S159" s="18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6:31">
      <c r="P160" s="14"/>
      <c r="Q160" s="17"/>
      <c r="R160" s="18"/>
      <c r="S160" s="18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6:31">
      <c r="P161" s="14"/>
      <c r="Q161" s="17"/>
      <c r="R161" s="18"/>
      <c r="S161" s="18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6:31">
      <c r="P162" s="14"/>
      <c r="Q162" s="17"/>
      <c r="R162" s="18"/>
      <c r="S162" s="18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6:31">
      <c r="P163" s="14"/>
      <c r="Q163" s="17"/>
      <c r="R163" s="18"/>
      <c r="S163" s="18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6:31">
      <c r="P164" s="14"/>
      <c r="Q164" s="17"/>
      <c r="R164" s="18"/>
      <c r="S164" s="18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6:31">
      <c r="P165" s="14"/>
      <c r="Q165" s="17"/>
      <c r="R165" s="18"/>
      <c r="S165" s="18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6:31">
      <c r="P166" s="14"/>
      <c r="Q166" s="17"/>
      <c r="R166" s="18"/>
      <c r="S166" s="18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6:31">
      <c r="P167" s="14"/>
      <c r="Q167" s="17"/>
      <c r="R167" s="18"/>
      <c r="S167" s="18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6:31">
      <c r="P168" s="14"/>
      <c r="Q168" s="17"/>
      <c r="R168" s="18"/>
      <c r="S168" s="18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6:31">
      <c r="P169" s="14"/>
      <c r="Q169" s="17"/>
      <c r="R169" s="18"/>
      <c r="S169" s="18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6:31">
      <c r="P170" s="14"/>
      <c r="Q170" s="17"/>
      <c r="R170" s="18"/>
      <c r="S170" s="18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6:31">
      <c r="P171" s="14"/>
      <c r="Q171" s="17"/>
      <c r="R171" s="18"/>
      <c r="S171" s="18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6:31">
      <c r="P172" s="14"/>
      <c r="Q172" s="17"/>
      <c r="R172" s="18"/>
      <c r="S172" s="18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6:31">
      <c r="P173" s="14"/>
      <c r="Q173" s="17"/>
      <c r="R173" s="18"/>
      <c r="S173" s="18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6:31">
      <c r="P174" s="14"/>
      <c r="Q174" s="17"/>
      <c r="R174" s="18"/>
      <c r="S174" s="18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6:31">
      <c r="P175" s="14"/>
      <c r="Q175" s="17"/>
      <c r="R175" s="18"/>
      <c r="S175" s="18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6:31">
      <c r="P176" s="14"/>
      <c r="Q176" s="17"/>
      <c r="R176" s="18"/>
      <c r="S176" s="18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6:31">
      <c r="P177" s="14"/>
      <c r="Q177" s="17"/>
      <c r="R177" s="18"/>
      <c r="S177" s="18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6:31">
      <c r="P178" s="14"/>
      <c r="Q178" s="17"/>
      <c r="R178" s="18"/>
      <c r="S178" s="18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6:31">
      <c r="P179" s="14"/>
      <c r="Q179" s="17"/>
      <c r="R179" s="18"/>
      <c r="S179" s="18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6:31">
      <c r="P180" s="14"/>
      <c r="Q180" s="17"/>
      <c r="R180" s="18"/>
      <c r="S180" s="18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6:31">
      <c r="P181" s="14"/>
      <c r="Q181" s="17"/>
      <c r="R181" s="18"/>
      <c r="S181" s="18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6:31">
      <c r="P182" s="14"/>
      <c r="Q182" s="17"/>
      <c r="R182" s="18"/>
      <c r="S182" s="18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</sheetData>
  <mergeCells count="48">
    <mergeCell ref="B24:E24"/>
    <mergeCell ref="B25:E25"/>
    <mergeCell ref="B26:E26"/>
    <mergeCell ref="B19:E19"/>
    <mergeCell ref="B20:E20"/>
    <mergeCell ref="B21:E21"/>
    <mergeCell ref="B22:E22"/>
    <mergeCell ref="B23:E23"/>
    <mergeCell ref="B14:E14"/>
    <mergeCell ref="B15:E15"/>
    <mergeCell ref="B16:E16"/>
    <mergeCell ref="B17:E17"/>
    <mergeCell ref="B18:E18"/>
    <mergeCell ref="F25:G25"/>
    <mergeCell ref="F26:G26"/>
    <mergeCell ref="H19:I19"/>
    <mergeCell ref="H20:I20"/>
    <mergeCell ref="H21:I21"/>
    <mergeCell ref="H22:I22"/>
    <mergeCell ref="H23:I23"/>
    <mergeCell ref="H24:I24"/>
    <mergeCell ref="H25:I25"/>
    <mergeCell ref="H26:I26"/>
    <mergeCell ref="F20:G20"/>
    <mergeCell ref="F21:G21"/>
    <mergeCell ref="F22:G22"/>
    <mergeCell ref="F23:G23"/>
    <mergeCell ref="F24:G24"/>
    <mergeCell ref="F17:G17"/>
    <mergeCell ref="H17:I17"/>
    <mergeCell ref="F18:G18"/>
    <mergeCell ref="H18:I18"/>
    <mergeCell ref="F19:G19"/>
    <mergeCell ref="H14:I14"/>
    <mergeCell ref="F14:G14"/>
    <mergeCell ref="F15:G15"/>
    <mergeCell ref="H15:I15"/>
    <mergeCell ref="F16:G16"/>
    <mergeCell ref="H16:I16"/>
    <mergeCell ref="A2:I2"/>
    <mergeCell ref="A1:I1"/>
    <mergeCell ref="H8:I12"/>
    <mergeCell ref="F8:G12"/>
    <mergeCell ref="H13:I13"/>
    <mergeCell ref="F13:G13"/>
    <mergeCell ref="B8:E12"/>
    <mergeCell ref="B13:E13"/>
    <mergeCell ref="A8:A12"/>
  </mergeCells>
  <conditionalFormatting sqref="C34">
    <cfRule type="cellIs" dxfId="63" priority="1" stopIfTrue="1" operator="equal">
      <formula>0</formula>
    </cfRule>
    <cfRule type="expression" dxfId="62" priority="2" stopIfTrue="1">
      <formula>#DIV/0!</formula>
    </cfRule>
  </conditionalFormatting>
  <pageMargins left="0.7" right="0.7" top="0.75" bottom="0.75" header="0.3" footer="0.3"/>
  <pageSetup paperSize="9" scale="85" orientation="portrait" r:id="rId1"/>
  <headerFooter>
    <oddFooter>&amp;L&amp;"Arial,полужирный"&amp;8&amp;A&amp;C&amp;8Page &amp;P of &amp;N&amp;R&amp;"Arial,полужирный"&amp;8&amp;F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KOPTĀME</vt:lpstr>
      <vt:lpstr>Kopsavilkums</vt:lpstr>
      <vt:lpstr>0-0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'0-0'!Print_Area</vt:lpstr>
      <vt:lpstr>'1-1'!Print_Area</vt:lpstr>
      <vt:lpstr>'1-10'!Print_Area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Kopsavilkums!Print_Area</vt:lpstr>
      <vt:lpstr>KOPTĀME!Print_Area</vt:lpstr>
      <vt:lpstr>'0-0'!Print_Titles</vt:lpstr>
      <vt:lpstr>'1-1'!Print_Titles</vt:lpstr>
      <vt:lpstr>'1-10'!Print_Titles</vt:lpstr>
      <vt:lpstr>'1-2'!Print_Titles</vt:lpstr>
      <vt:lpstr>'1-3'!Print_Titles</vt:lpstr>
      <vt:lpstr>'1-4'!Print_Titles</vt:lpstr>
      <vt:lpstr>'1-5'!Print_Titles</vt:lpstr>
      <vt:lpstr>'1-6'!Print_Titles</vt:lpstr>
      <vt:lpstr>'1-7'!Print_Titles</vt:lpstr>
      <vt:lpstr>'1-8'!Print_Titles</vt:lpstr>
      <vt:lpstr>'1-9'!Print_Titles</vt:lpstr>
    </vt:vector>
  </TitlesOfParts>
  <Company>RCC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</dc:creator>
  <cp:lastModifiedBy>Toms_S</cp:lastModifiedBy>
  <cp:lastPrinted>2015-05-14T14:59:41Z</cp:lastPrinted>
  <dcterms:created xsi:type="dcterms:W3CDTF">2002-09-19T07:20:52Z</dcterms:created>
  <dcterms:modified xsi:type="dcterms:W3CDTF">2015-05-22T10:21:46Z</dcterms:modified>
</cp:coreProperties>
</file>